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90" tabRatio="867" firstSheet="8" activeTab="8"/>
  </bookViews>
  <sheets>
    <sheet name="独立费用" sheetId="11596" r:id="rId1"/>
    <sheet name="监理费用" sheetId="11591" state="hidden" r:id="rId2"/>
    <sheet name="设计费" sheetId="11590" state="hidden" r:id="rId3"/>
    <sheet name="可研初设对比表" sheetId="11666" state="hidden" r:id="rId4"/>
    <sheet name="汇总表" sheetId="11665" state="hidden" r:id="rId5"/>
    <sheet name="总概算核" sheetId="11660" state="hidden" r:id="rId6"/>
    <sheet name="建筑概算核" sheetId="11661" state="hidden" r:id="rId7"/>
    <sheet name="安装概算核" sheetId="11662" state="hidden" r:id="rId8"/>
    <sheet name="总（姚伏）" sheetId="11667" r:id="rId9"/>
    <sheet name="概算（姚伏）" sheetId="11668" r:id="rId10"/>
    <sheet name="安装（姚伏）" sheetId="11669" r:id="rId11"/>
    <sheet name="总（城关）" sheetId="11670" r:id="rId12"/>
    <sheet name="概算（城关）" sheetId="11672" r:id="rId13"/>
    <sheet name="安装（城关）" sheetId="11671" r:id="rId14"/>
    <sheet name="总（高庄）" sheetId="11673" r:id="rId15"/>
    <sheet name="概算（高庄）" sheetId="11674" r:id="rId16"/>
    <sheet name="安装(高庄）" sheetId="11675" r:id="rId17"/>
    <sheet name="单价汇总表" sheetId="11586" r:id="rId18"/>
    <sheet name="新定额单价" sheetId="11581" r:id="rId19"/>
    <sheet name="管材" sheetId="11664" r:id="rId20"/>
    <sheet name="台时" sheetId="11583" r:id="rId21"/>
    <sheet name="配合比" sheetId="11584" r:id="rId22"/>
    <sheet name="材料预算价" sheetId="11582" r:id="rId23"/>
    <sheet name="工程量汇总表" sheetId="11606" r:id="rId24"/>
    <sheet name="材料分析" sheetId="11607" r:id="rId25"/>
    <sheet name="取费表" sheetId="11599" r:id="rId26"/>
    <sheet name="基础材料表" sheetId="11585" r:id="rId27"/>
  </sheets>
  <externalReferences>
    <externalReference r:id="rId31"/>
  </externalReferences>
  <definedNames>
    <definedName name="_xlnm._FilterDatabase" localSheetId="6" hidden="1">建筑概算核!$A$3:$I$510</definedName>
    <definedName name="_xlnm._FilterDatabase" localSheetId="18" hidden="1">新定额单价!$A$1:$H$4064</definedName>
    <definedName name="_xlnm.Print_Titles" localSheetId="7">安装概算核!$1:$4</definedName>
    <definedName name="_xlnm.Print_Titles" localSheetId="17">单价汇总表!$1:$4</definedName>
    <definedName name="_xlnm.Print_Titles" localSheetId="26">基础材料表!$1:$2</definedName>
    <definedName name="_xlnm.Print_Titles" localSheetId="6">建筑概算核!$1:$4</definedName>
    <definedName name="定额编号_1213">新定额单价!$A$197</definedName>
    <definedName name="定额编号_2154">新定额单价!#REF!</definedName>
    <definedName name="定额编号_3007">新定额单价!#REF!</definedName>
    <definedName name="定额编号_4067">新定额单价!$A$1492</definedName>
    <definedName name="定额编号_4069">新定额单价!$A$1681</definedName>
    <definedName name="定额编号_6091">新定额单价!#REF!</definedName>
    <definedName name="定额编号_6093">新定额单价!#REF!</definedName>
    <definedName name="定额编号_8020">新定额单价!#REF!</definedName>
    <definedName name="定额编号_8243">新定额单价!#REF!</definedName>
    <definedName name="沟槽石方开挖_______________工程">新定额单价!#REF!</definedName>
    <definedName name="人工挖土、手扶运300m__工程">新定额单价!#REF!</definedName>
    <definedName name="一般石方开挖风钻Ⅶ_工程">新定额单价!#REF!</definedName>
    <definedName name="溢流堰砼200__工程">新定额单价!#REF!</definedName>
    <definedName name="_xlnm.Print_Titles" localSheetId="11">'总（城关）'!$3:$3</definedName>
    <definedName name="_xlnm.Print_Titles" localSheetId="14">'总（高庄）'!$3:$3</definedName>
    <definedName name="_xlnm.Print_Titles" localSheetId="8">'总（姚伏）'!$3:$3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C10" authorId="0">
      <text>
        <r>
          <rPr>
            <sz val="9"/>
            <rFont val="宋体"/>
            <charset val="134"/>
          </rPr>
          <t>2002设计文件P89表附表二</t>
        </r>
      </text>
    </comment>
    <comment ref="C12" authorId="0">
      <text>
        <r>
          <rPr>
            <sz val="9"/>
            <rFont val="宋体"/>
            <charset val="134"/>
          </rPr>
          <t>2002设计文件P76注：（内容）</t>
        </r>
      </text>
    </comment>
    <comment ref="C14" authorId="0">
      <text>
        <r>
          <rPr>
            <sz val="9"/>
            <rFont val="宋体"/>
            <charset val="134"/>
          </rPr>
          <t>2002设计文件P39表10.2-1</t>
        </r>
      </text>
    </comment>
    <comment ref="C18" authorId="0">
      <text>
        <r>
          <rPr>
            <sz val="9"/>
            <rFont val="宋体"/>
            <charset val="134"/>
          </rPr>
          <t>2002设计文件P39表10.1.6（15%-20%）</t>
        </r>
      </text>
    </comment>
    <comment ref="C22" authorId="0">
      <text>
        <r>
          <rPr>
            <sz val="9"/>
            <rFont val="宋体"/>
            <charset val="134"/>
          </rPr>
          <t>阶段系数按国家发改委、建设部关于发布《水利、水电、电力建设项目前期工作工程勘察收费暂行规定》的通知发改价格【2006】1352号 P1</t>
        </r>
      </text>
    </comment>
    <comment ref="C24" authorId="0">
      <text>
        <r>
          <rPr>
            <sz val="9"/>
            <rFont val="宋体"/>
            <charset val="134"/>
          </rPr>
          <t>2002设计文件P39表10.1.6（15%-20%）</t>
        </r>
      </text>
    </comment>
    <comment ref="C25" authorId="0">
      <text>
        <r>
          <rPr>
            <sz val="9"/>
            <rFont val="宋体"/>
            <charset val="134"/>
          </rPr>
          <t>《项目前期勘察收费》【2006】1352号 P4 第七条 占前期勘测费用的30-40%</t>
        </r>
      </text>
    </comment>
    <comment ref="C40" authorId="0">
      <text>
        <r>
          <rPr>
            <sz val="9"/>
            <rFont val="宋体"/>
            <charset val="134"/>
          </rPr>
          <t>2002设计文件P39表10.2-2</t>
        </r>
      </text>
    </comment>
    <comment ref="C44" authorId="0">
      <text>
        <r>
          <rPr>
            <sz val="9"/>
            <rFont val="宋体"/>
            <charset val="134"/>
          </rPr>
          <t>2002设计文件P39表10.2-1</t>
        </r>
      </text>
    </comment>
    <comment ref="C48" authorId="0">
      <text>
        <r>
          <rPr>
            <sz val="9"/>
            <rFont val="宋体"/>
            <charset val="134"/>
          </rPr>
          <t>2002设计文件P39表10.1.6（15%-20%）</t>
        </r>
      </text>
    </comment>
    <comment ref="C56" authorId="0">
      <text>
        <r>
          <rPr>
            <sz val="9"/>
            <rFont val="宋体"/>
            <charset val="134"/>
          </rPr>
          <t xml:space="preserve">《项目前期勘察收费》【2006】1352号 P2 表3
</t>
        </r>
      </text>
    </comment>
    <comment ref="C57" authorId="0">
      <text>
        <r>
          <rPr>
            <sz val="9"/>
            <rFont val="宋体"/>
            <charset val="134"/>
          </rPr>
          <t>《项目前期勘察收费》【2006】1352号 P2 表4</t>
        </r>
      </text>
    </comment>
    <comment ref="C58" authorId="0">
      <text>
        <r>
          <rPr>
            <sz val="9"/>
            <rFont val="宋体"/>
            <charset val="134"/>
          </rPr>
          <t xml:space="preserve">《项目前期勘察收费》【2006】1352号 P2 表5
</t>
        </r>
      </text>
    </comment>
    <comment ref="C59" authorId="0">
      <text>
        <r>
          <rPr>
            <sz val="9"/>
            <rFont val="宋体"/>
            <charset val="134"/>
          </rPr>
          <t>2002设计文件P3表1.0.10 2000米以下不调</t>
        </r>
      </text>
    </comment>
    <comment ref="C62" authorId="0">
      <text>
        <r>
          <rPr>
            <sz val="9"/>
            <rFont val="宋体"/>
            <charset val="134"/>
          </rPr>
          <t>阶段系数按国家发改委、建设部关于发布《水利、水电、电力建设项目前期工作工程勘察收费暂行规定》的通知发改价格【2006】1352号 P1</t>
        </r>
      </text>
    </comment>
    <comment ref="C64" authorId="0">
      <text>
        <r>
          <rPr>
            <sz val="9"/>
            <rFont val="宋体"/>
            <charset val="134"/>
          </rPr>
          <t>2002设计文件P39表10.1.6（15%-20%）</t>
        </r>
      </text>
    </comment>
    <comment ref="C80" authorId="0">
      <text>
        <r>
          <rPr>
            <sz val="9"/>
            <rFont val="宋体"/>
            <charset val="134"/>
          </rPr>
          <t>2002设计文件P89表附表二</t>
        </r>
      </text>
    </comment>
    <comment ref="C82" authorId="0">
      <text>
        <r>
          <rPr>
            <sz val="9"/>
            <rFont val="宋体"/>
            <charset val="134"/>
          </rPr>
          <t>2002设计文件P76注：（内容）</t>
        </r>
      </text>
    </comment>
    <comment ref="C84" authorId="0">
      <text>
        <r>
          <rPr>
            <sz val="9"/>
            <rFont val="宋体"/>
            <charset val="134"/>
          </rPr>
          <t>2002设计文件P39表10.2-1</t>
        </r>
      </text>
    </comment>
    <comment ref="C88" authorId="0">
      <text>
        <r>
          <rPr>
            <sz val="9"/>
            <rFont val="宋体"/>
            <charset val="134"/>
          </rPr>
          <t>2002设计文件P39表10.1.6（15%-20%）</t>
        </r>
      </text>
    </comment>
    <comment ref="C92" authorId="0">
      <text>
        <r>
          <rPr>
            <sz val="9"/>
            <rFont val="宋体"/>
            <charset val="134"/>
          </rPr>
          <t>阶段系数按国家发改委、建设部关于发布《水利、水电、电力建设项目前期工作工程勘察收费暂行规定》的通知发改价格【2006】1352号 P1</t>
        </r>
      </text>
    </comment>
    <comment ref="C94" authorId="0">
      <text>
        <r>
          <rPr>
            <sz val="9"/>
            <rFont val="宋体"/>
            <charset val="134"/>
          </rPr>
          <t>2002设计文件P39表10.1.6（15%-20%）</t>
        </r>
      </text>
    </comment>
    <comment ref="C95" authorId="0">
      <text>
        <r>
          <rPr>
            <sz val="9"/>
            <rFont val="宋体"/>
            <charset val="134"/>
          </rPr>
          <t>《项目前期勘察收费》【2006】1352号 P4 第七条 占前期勘测费用的30-40%</t>
        </r>
      </text>
    </comment>
    <comment ref="C110" authorId="0">
      <text>
        <r>
          <rPr>
            <sz val="9"/>
            <rFont val="宋体"/>
            <charset val="134"/>
          </rPr>
          <t>2002设计文件P39表10.2-2</t>
        </r>
      </text>
    </comment>
    <comment ref="C114" authorId="0">
      <text>
        <r>
          <rPr>
            <sz val="9"/>
            <rFont val="宋体"/>
            <charset val="134"/>
          </rPr>
          <t>2002设计文件P39表10.2-1</t>
        </r>
      </text>
    </comment>
    <comment ref="C118" authorId="0">
      <text>
        <r>
          <rPr>
            <sz val="9"/>
            <rFont val="宋体"/>
            <charset val="134"/>
          </rPr>
          <t>2002设计文件P39表10.1.6（15%-20%）</t>
        </r>
      </text>
    </comment>
    <comment ref="C126" authorId="0">
      <text>
        <r>
          <rPr>
            <sz val="9"/>
            <rFont val="宋体"/>
            <charset val="134"/>
          </rPr>
          <t xml:space="preserve">《项目前期勘察收费》【2006】1352号 P2 表3
</t>
        </r>
      </text>
    </comment>
    <comment ref="C127" authorId="0">
      <text>
        <r>
          <rPr>
            <sz val="9"/>
            <rFont val="宋体"/>
            <charset val="134"/>
          </rPr>
          <t>《项目前期勘察收费》【2006】1352号 P2 表4</t>
        </r>
      </text>
    </comment>
    <comment ref="C128" authorId="0">
      <text>
        <r>
          <rPr>
            <sz val="9"/>
            <rFont val="宋体"/>
            <charset val="134"/>
          </rPr>
          <t xml:space="preserve">《项目前期勘察收费》【2006】1352号 P2 表5
</t>
        </r>
      </text>
    </comment>
    <comment ref="C129" authorId="0">
      <text>
        <r>
          <rPr>
            <sz val="9"/>
            <rFont val="宋体"/>
            <charset val="134"/>
          </rPr>
          <t>2002设计文件P3表1.0.10 2000米以下不调</t>
        </r>
      </text>
    </comment>
    <comment ref="C132" authorId="0">
      <text>
        <r>
          <rPr>
            <sz val="9"/>
            <rFont val="宋体"/>
            <charset val="134"/>
          </rPr>
          <t>阶段系数按国家发改委、建设部关于发布《水利、水电、电力建设项目前期工作工程勘察收费暂行规定》的通知发改价格【2006】1352号 P1</t>
        </r>
      </text>
    </comment>
    <comment ref="C134" authorId="0">
      <text>
        <r>
          <rPr>
            <sz val="9"/>
            <rFont val="宋体"/>
            <charset val="134"/>
          </rPr>
          <t>2002设计文件P39表10.1.6（15%-20%）</t>
        </r>
      </text>
    </comment>
    <comment ref="C150" authorId="0">
      <text>
        <r>
          <rPr>
            <sz val="9"/>
            <rFont val="宋体"/>
            <charset val="134"/>
          </rPr>
          <t>2002设计文件P89表附表二</t>
        </r>
      </text>
    </comment>
    <comment ref="C152" authorId="0">
      <text>
        <r>
          <rPr>
            <sz val="9"/>
            <rFont val="宋体"/>
            <charset val="134"/>
          </rPr>
          <t>2002设计文件P76注：（内容）</t>
        </r>
      </text>
    </comment>
    <comment ref="C154" authorId="0">
      <text>
        <r>
          <rPr>
            <sz val="9"/>
            <rFont val="宋体"/>
            <charset val="134"/>
          </rPr>
          <t>2002设计文件P39表10.2-1</t>
        </r>
      </text>
    </comment>
    <comment ref="C158" authorId="0">
      <text>
        <r>
          <rPr>
            <sz val="9"/>
            <rFont val="宋体"/>
            <charset val="134"/>
          </rPr>
          <t>2002设计文件P39表10.1.6（15%-20%）</t>
        </r>
      </text>
    </comment>
    <comment ref="C162" authorId="0">
      <text>
        <r>
          <rPr>
            <sz val="9"/>
            <rFont val="宋体"/>
            <charset val="134"/>
          </rPr>
          <t>阶段系数按国家发改委、建设部关于发布《水利、水电、电力建设项目前期工作工程勘察收费暂行规定》的通知发改价格【2006】1352号 P1</t>
        </r>
      </text>
    </comment>
    <comment ref="C164" authorId="0">
      <text>
        <r>
          <rPr>
            <sz val="9"/>
            <rFont val="宋体"/>
            <charset val="134"/>
          </rPr>
          <t>2002设计文件P39表10.1.6（15%-20%）</t>
        </r>
      </text>
    </comment>
    <comment ref="C165" authorId="0">
      <text>
        <r>
          <rPr>
            <sz val="9"/>
            <rFont val="宋体"/>
            <charset val="134"/>
          </rPr>
          <t>《项目前期勘察收费》【2006】1352号 P4 第七条 占前期勘测费用的30-40%</t>
        </r>
      </text>
    </comment>
    <comment ref="C180" authorId="0">
      <text>
        <r>
          <rPr>
            <sz val="9"/>
            <rFont val="宋体"/>
            <charset val="134"/>
          </rPr>
          <t>2002设计文件P39表10.2-2</t>
        </r>
      </text>
    </comment>
    <comment ref="C184" authorId="0">
      <text>
        <r>
          <rPr>
            <sz val="9"/>
            <rFont val="宋体"/>
            <charset val="134"/>
          </rPr>
          <t>2002设计文件P39表10.2-1</t>
        </r>
      </text>
    </comment>
    <comment ref="C188" authorId="0">
      <text>
        <r>
          <rPr>
            <sz val="9"/>
            <rFont val="宋体"/>
            <charset val="134"/>
          </rPr>
          <t>2002设计文件P39表10.1.6（15%-20%）</t>
        </r>
      </text>
    </comment>
    <comment ref="C196" authorId="0">
      <text>
        <r>
          <rPr>
            <sz val="9"/>
            <rFont val="宋体"/>
            <charset val="134"/>
          </rPr>
          <t xml:space="preserve">《项目前期勘察收费》【2006】1352号 P2 表3
</t>
        </r>
      </text>
    </comment>
    <comment ref="C197" authorId="0">
      <text>
        <r>
          <rPr>
            <sz val="9"/>
            <rFont val="宋体"/>
            <charset val="134"/>
          </rPr>
          <t>《项目前期勘察收费》【2006】1352号 P2 表4</t>
        </r>
      </text>
    </comment>
    <comment ref="C198" authorId="0">
      <text>
        <r>
          <rPr>
            <sz val="9"/>
            <rFont val="宋体"/>
            <charset val="134"/>
          </rPr>
          <t xml:space="preserve">《项目前期勘察收费》【2006】1352号 P2 表5
</t>
        </r>
      </text>
    </comment>
    <comment ref="C199" authorId="0">
      <text>
        <r>
          <rPr>
            <sz val="9"/>
            <rFont val="宋体"/>
            <charset val="134"/>
          </rPr>
          <t>2002设计文件P3表1.0.10 2000米以下不调</t>
        </r>
      </text>
    </comment>
    <comment ref="C202" authorId="0">
      <text>
        <r>
          <rPr>
            <sz val="9"/>
            <rFont val="宋体"/>
            <charset val="134"/>
          </rPr>
          <t>阶段系数按国家发改委、建设部关于发布《水利、水电、电力建设项目前期工作工程勘察收费暂行规定》的通知发改价格【2006】1352号 P1</t>
        </r>
      </text>
    </comment>
    <comment ref="C204" authorId="0">
      <text>
        <r>
          <rPr>
            <sz val="9"/>
            <rFont val="宋体"/>
            <charset val="134"/>
          </rPr>
          <t>2002设计文件P39表10.1.6（15%-20%）</t>
        </r>
      </text>
    </comment>
    <comment ref="C221" authorId="0">
      <text>
        <r>
          <rPr>
            <sz val="9"/>
            <rFont val="宋体"/>
            <charset val="134"/>
          </rPr>
          <t>2002设计文件P89表附表二</t>
        </r>
      </text>
    </comment>
    <comment ref="C223" authorId="0">
      <text>
        <r>
          <rPr>
            <sz val="9"/>
            <rFont val="宋体"/>
            <charset val="134"/>
          </rPr>
          <t>2002设计文件P76注：（内容）</t>
        </r>
      </text>
    </comment>
    <comment ref="C225" authorId="0">
      <text>
        <r>
          <rPr>
            <sz val="9"/>
            <rFont val="宋体"/>
            <charset val="134"/>
          </rPr>
          <t>2002设计文件P39表10.2-1</t>
        </r>
      </text>
    </comment>
    <comment ref="C229" authorId="0">
      <text>
        <r>
          <rPr>
            <sz val="9"/>
            <rFont val="宋体"/>
            <charset val="134"/>
          </rPr>
          <t>2002设计文件P39表10.1.6（15%-20%）</t>
        </r>
      </text>
    </comment>
    <comment ref="C233" authorId="0">
      <text>
        <r>
          <rPr>
            <sz val="9"/>
            <rFont val="宋体"/>
            <charset val="134"/>
          </rPr>
          <t>阶段系数按国家发改委、建设部关于发布《水利、水电、电力建设项目前期工作工程勘察收费暂行规定》的通知发改价格【2006】1352号 P1</t>
        </r>
      </text>
    </comment>
    <comment ref="C235" authorId="0">
      <text>
        <r>
          <rPr>
            <sz val="9"/>
            <rFont val="宋体"/>
            <charset val="134"/>
          </rPr>
          <t>2002设计文件P39表10.1.6（15%-20%）</t>
        </r>
      </text>
    </comment>
    <comment ref="C236" authorId="0">
      <text>
        <r>
          <rPr>
            <sz val="9"/>
            <rFont val="宋体"/>
            <charset val="134"/>
          </rPr>
          <t>《项目前期勘察收费》【2006】1352号 P4 第七条 占前期勘测费用的30-40%</t>
        </r>
      </text>
    </comment>
    <comment ref="C251" authorId="0">
      <text>
        <r>
          <rPr>
            <sz val="9"/>
            <rFont val="宋体"/>
            <charset val="134"/>
          </rPr>
          <t>2002设计文件P39表10.2-2</t>
        </r>
      </text>
    </comment>
    <comment ref="C255" authorId="0">
      <text>
        <r>
          <rPr>
            <sz val="9"/>
            <rFont val="宋体"/>
            <charset val="134"/>
          </rPr>
          <t>2002设计文件P39表10.2-1</t>
        </r>
      </text>
    </comment>
    <comment ref="C259" authorId="0">
      <text>
        <r>
          <rPr>
            <sz val="9"/>
            <rFont val="宋体"/>
            <charset val="134"/>
          </rPr>
          <t>2002设计文件P39表10.1.6（15%-20%）</t>
        </r>
      </text>
    </comment>
    <comment ref="C267" authorId="0">
      <text>
        <r>
          <rPr>
            <sz val="9"/>
            <rFont val="宋体"/>
            <charset val="134"/>
          </rPr>
          <t xml:space="preserve">《项目前期勘察收费》【2006】1352号 P2 表3
</t>
        </r>
      </text>
    </comment>
    <comment ref="C268" authorId="0">
      <text>
        <r>
          <rPr>
            <sz val="9"/>
            <rFont val="宋体"/>
            <charset val="134"/>
          </rPr>
          <t>《项目前期勘察收费》【2006】1352号 P2 表4</t>
        </r>
      </text>
    </comment>
    <comment ref="C269" authorId="0">
      <text>
        <r>
          <rPr>
            <sz val="9"/>
            <rFont val="宋体"/>
            <charset val="134"/>
          </rPr>
          <t xml:space="preserve">《项目前期勘察收费》【2006】1352号 P2 表5
</t>
        </r>
      </text>
    </comment>
    <comment ref="C270" authorId="0">
      <text>
        <r>
          <rPr>
            <sz val="9"/>
            <rFont val="宋体"/>
            <charset val="134"/>
          </rPr>
          <t>2002设计文件P3表1.0.10 2000米以下不调</t>
        </r>
      </text>
    </comment>
    <comment ref="C273" authorId="0">
      <text>
        <r>
          <rPr>
            <sz val="9"/>
            <rFont val="宋体"/>
            <charset val="134"/>
          </rPr>
          <t>阶段系数按国家发改委、建设部关于发布《水利、水电、电力建设项目前期工作工程勘察收费暂行规定》的通知发改价格【2006】1352号 P1</t>
        </r>
      </text>
    </comment>
    <comment ref="C275" authorId="0">
      <text>
        <r>
          <rPr>
            <sz val="9"/>
            <rFont val="宋体"/>
            <charset val="134"/>
          </rPr>
          <t>2002设计文件P39表10.1.6（15%-20%）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王倩</author>
  </authors>
  <commentList>
    <comment ref="B1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启闭机台、架、柱</t>
        </r>
      </text>
    </comment>
    <comment ref="B139" authorId="1">
      <text>
        <r>
          <rPr>
            <b/>
            <sz val="9"/>
            <rFont val="宋体"/>
            <charset val="134"/>
          </rPr>
          <t>箱涵+闸</t>
        </r>
      </text>
    </comment>
    <comment ref="B2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启闭机台、架、柱</t>
        </r>
      </text>
    </comment>
    <comment ref="B211" authorId="1">
      <text>
        <r>
          <rPr>
            <b/>
            <sz val="9"/>
            <rFont val="宋体"/>
            <charset val="134"/>
          </rPr>
          <t>箱涵+闸</t>
        </r>
      </text>
    </comment>
    <comment ref="B2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启闭机台、架、柱</t>
        </r>
      </text>
    </comment>
    <comment ref="B283" authorId="1">
      <text>
        <r>
          <rPr>
            <b/>
            <sz val="9"/>
            <rFont val="宋体"/>
            <charset val="134"/>
          </rPr>
          <t>箱涵+闸</t>
        </r>
      </text>
    </comment>
  </commentList>
</comments>
</file>

<file path=xl/sharedStrings.xml><?xml version="1.0" encoding="utf-8"?>
<sst xmlns="http://schemas.openxmlformats.org/spreadsheetml/2006/main" count="17798" uniqueCount="1757">
  <si>
    <t xml:space="preserve"> 项目建设管理费</t>
  </si>
  <si>
    <t>序号</t>
  </si>
  <si>
    <t>投资</t>
  </si>
  <si>
    <t>费率</t>
  </si>
  <si>
    <t>计算式</t>
  </si>
  <si>
    <t>500-1000</t>
  </si>
  <si>
    <t>1000-3000</t>
  </si>
  <si>
    <t>3000-5000</t>
  </si>
  <si>
    <t>5000-8000</t>
  </si>
  <si>
    <t>8000-10000</t>
  </si>
  <si>
    <t>﹥10000</t>
  </si>
  <si>
    <t>项目建设管理费合计</t>
  </si>
  <si>
    <t xml:space="preserve"> 项目建设管理费 姚伏</t>
  </si>
  <si>
    <t xml:space="preserve"> 项目建设管理费 城关</t>
  </si>
  <si>
    <t xml:space="preserve"> 项目建设管理费 高庄</t>
  </si>
  <si>
    <r>
      <rPr>
        <b/>
        <sz val="16"/>
        <color indexed="8"/>
        <rFont val="宋体"/>
        <charset val="134"/>
      </rPr>
      <t xml:space="preserve"> 施工监理服务收费计算表</t>
    </r>
    <r>
      <rPr>
        <b/>
        <sz val="16"/>
        <color indexed="8"/>
        <rFont val="宋体"/>
        <charset val="134"/>
      </rPr>
      <t xml:space="preserve"> </t>
    </r>
  </si>
  <si>
    <t>名  称</t>
  </si>
  <si>
    <t>调整系数/基价</t>
  </si>
  <si>
    <t>合价</t>
  </si>
  <si>
    <t>施工监理服务收费基准价</t>
  </si>
  <si>
    <t>施工监理服务收费基价(内插法)</t>
  </si>
  <si>
    <t>计费额(万元)</t>
  </si>
  <si>
    <t>计费额标准(万元)</t>
  </si>
  <si>
    <t>收费基价标准(万元)</t>
  </si>
  <si>
    <t>专业调整系数</t>
  </si>
  <si>
    <t>工程复杂程度调整系数</t>
  </si>
  <si>
    <t>高程调整系数</t>
  </si>
  <si>
    <t>浮动幅度值(±20%)</t>
  </si>
  <si>
    <t>施工监理服务收费</t>
  </si>
  <si>
    <r>
      <rPr>
        <sz val="10"/>
        <color indexed="8"/>
        <rFont val="仿宋_GB2312"/>
        <charset val="134"/>
      </rPr>
      <t>施工监理服务收费=施工监理服务收费基准价×（1±浮动幅度值）
施工监理服务收费基准价=施工监理服务</t>
    </r>
    <r>
      <rPr>
        <sz val="10"/>
        <rFont val="仿宋_GB2312"/>
        <charset val="134"/>
      </rPr>
      <t>收费基价</t>
    </r>
    <r>
      <rPr>
        <sz val="10"/>
        <color indexed="8"/>
        <rFont val="仿宋_GB2312"/>
        <charset val="134"/>
      </rPr>
      <t>×专业调整系数×工程复杂程度调整系数×高程调整系数</t>
    </r>
  </si>
  <si>
    <t xml:space="preserve"> 施工监理服务收费计算表 姚伏 </t>
  </si>
  <si>
    <t xml:space="preserve"> 施工监理服务收费计算表  城关</t>
  </si>
  <si>
    <t xml:space="preserve"> 施工监理服务收费计算表  高庄</t>
  </si>
  <si>
    <t>工程设计收费计算表</t>
  </si>
  <si>
    <t>一</t>
  </si>
  <si>
    <t>工程设计费</t>
  </si>
  <si>
    <t>工程设计收费基准价</t>
  </si>
  <si>
    <t>工程设计收费基价</t>
  </si>
  <si>
    <t>附加调整系数</t>
  </si>
  <si>
    <t>各阶段工程勘察费</t>
  </si>
  <si>
    <t>系数</t>
  </si>
  <si>
    <t>金额</t>
  </si>
  <si>
    <t>初步设计</t>
  </si>
  <si>
    <t>招标设计</t>
  </si>
  <si>
    <t>施工图设计</t>
  </si>
  <si>
    <t>作业准备费</t>
  </si>
  <si>
    <t>二</t>
  </si>
  <si>
    <t>工程设计前期费</t>
  </si>
  <si>
    <t>项目建议书</t>
  </si>
  <si>
    <t>可行性研究</t>
  </si>
  <si>
    <t>工程设计收费</t>
  </si>
  <si>
    <t>工程设计收费合计</t>
  </si>
  <si>
    <t>工程设计收费=工程设计收费基准价×（1±浮动幅度值）
工程设计收费基准价=基本设计收费+其他设计收费
基本设计收费=工程设计收费基价×专业调整系数×工程复杂程度调整系数×附加调整系数</t>
  </si>
  <si>
    <t>工程勘察收费计算表</t>
  </si>
  <si>
    <t>工程勘察费</t>
  </si>
  <si>
    <t>工程勘察收费基准价</t>
  </si>
  <si>
    <t>工程勘察收费基价(内插法)</t>
  </si>
  <si>
    <t>工程勘察前期费</t>
  </si>
  <si>
    <t>工程类型调整系数</t>
  </si>
  <si>
    <t>高程附加调整系数</t>
  </si>
  <si>
    <t>浮动幅度值</t>
  </si>
  <si>
    <t>工程勘察收费</t>
  </si>
  <si>
    <t>工程勘察收费合计</t>
  </si>
  <si>
    <r>
      <rPr>
        <sz val="9"/>
        <color indexed="8"/>
        <rFont val="仿宋_GB2312"/>
        <charset val="134"/>
      </rPr>
      <t>工程勘察收费=工程勘察收费基准价×（1±浮动幅度值）
工程勘察收费基准价=基本勘察收费+其他勘察收费
基本勘察收费=工程勘察</t>
    </r>
    <r>
      <rPr>
        <sz val="9"/>
        <rFont val="仿宋_GB2312"/>
        <charset val="134"/>
      </rPr>
      <t>收费基价</t>
    </r>
    <r>
      <rPr>
        <sz val="9"/>
        <color indexed="8"/>
        <rFont val="仿宋_GB2312"/>
        <charset val="134"/>
      </rPr>
      <t>×专业调整系数×工程复杂程度调整系数×附加调整系数</t>
    </r>
  </si>
  <si>
    <t>工程设计收费计算表 姚伏</t>
  </si>
  <si>
    <t>工程勘察收费计算表 姚伏</t>
  </si>
  <si>
    <t>工程设计收费计算表 城关</t>
  </si>
  <si>
    <t>工程勘察收费计算表  城关</t>
  </si>
  <si>
    <t>工程设计收费计算表 高庄</t>
  </si>
  <si>
    <t>工程勘察收费计算表  高庄</t>
  </si>
  <si>
    <t>总投资对比表</t>
  </si>
  <si>
    <t>单位：万元</t>
  </si>
  <si>
    <t>工程或费用名称</t>
  </si>
  <si>
    <t>可研阶段投资</t>
  </si>
  <si>
    <t>初设阶段投资</t>
  </si>
  <si>
    <t>增减额</t>
  </si>
  <si>
    <t>增减幅度</t>
  </si>
  <si>
    <t>第一部分  建筑工程</t>
  </si>
  <si>
    <t>第三排水沟平罗县治理段</t>
  </si>
  <si>
    <t>绿化灌溉</t>
  </si>
  <si>
    <t>第二部分  机电设备安装工程</t>
  </si>
  <si>
    <t>水机设备及安装工程</t>
  </si>
  <si>
    <t>电气设备及安装工程</t>
  </si>
  <si>
    <t>三</t>
  </si>
  <si>
    <t>自动化工程</t>
  </si>
  <si>
    <t>第三部分  金属结构设备及安装工程</t>
  </si>
  <si>
    <t>第一~第三部分合计</t>
  </si>
  <si>
    <t>第四部分  临时工程</t>
  </si>
  <si>
    <t>第一~第四部分合计</t>
  </si>
  <si>
    <t>第五部分  独立费用</t>
  </si>
  <si>
    <t>第一~第五部分合计</t>
  </si>
  <si>
    <t>基本预备费</t>
  </si>
  <si>
    <t>Ⅰ</t>
  </si>
  <si>
    <t>水利骨干工程</t>
  </si>
  <si>
    <t>Ⅱ</t>
  </si>
  <si>
    <t>建设征地补偿工程</t>
  </si>
  <si>
    <t>Ⅲ</t>
  </si>
  <si>
    <t>供电投资</t>
  </si>
  <si>
    <t>Ⅳ</t>
  </si>
  <si>
    <t>水土保持工程</t>
  </si>
  <si>
    <t>Ⅴ</t>
  </si>
  <si>
    <t>环境保护工程</t>
  </si>
  <si>
    <t>总投资</t>
  </si>
  <si>
    <t>概算汇总表</t>
  </si>
  <si>
    <t>编号</t>
  </si>
  <si>
    <t>供电工程</t>
  </si>
  <si>
    <t>合 计</t>
  </si>
  <si>
    <t>第二部分 机电及设备安装工程</t>
  </si>
  <si>
    <t>第三部分  金属结构及设备安装工程</t>
  </si>
  <si>
    <t>第一～三部分合计</t>
  </si>
  <si>
    <t>第一～四部分合计</t>
  </si>
  <si>
    <t>其中：</t>
  </si>
  <si>
    <t>勘测费</t>
  </si>
  <si>
    <t>设计费</t>
  </si>
  <si>
    <t>第一~五部分合计</t>
  </si>
  <si>
    <t>总计</t>
  </si>
  <si>
    <t>总概算审核表</t>
  </si>
  <si>
    <t>建  安          工程费</t>
  </si>
  <si>
    <t>设  备        购置费</t>
  </si>
  <si>
    <t>独  立     费  用</t>
  </si>
  <si>
    <t>第一部分   建筑工程</t>
  </si>
  <si>
    <t>四</t>
  </si>
  <si>
    <t>第二部分  机电设备及安装工程</t>
  </si>
  <si>
    <t>建设管理费</t>
  </si>
  <si>
    <t>工程建设监理费</t>
  </si>
  <si>
    <t>科研勘测设计费</t>
  </si>
  <si>
    <t>其他</t>
  </si>
  <si>
    <t>安全生产措施费</t>
  </si>
  <si>
    <t>工程质量检测费</t>
  </si>
  <si>
    <t>工程部分</t>
  </si>
  <si>
    <r>
      <rPr>
        <sz val="10"/>
        <rFont val="宋体"/>
        <charset val="134"/>
      </rPr>
      <t>第一部分</t>
    </r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农村移民安置补偿费</t>
    </r>
  </si>
  <si>
    <t>专项设施改建</t>
  </si>
  <si>
    <t>第三部分 其他费用</t>
  </si>
  <si>
    <t>其中：综合勘测设计科研费</t>
  </si>
  <si>
    <t>第四部分   预备费</t>
  </si>
  <si>
    <t>五</t>
  </si>
  <si>
    <t>第五部分    有关税费</t>
  </si>
  <si>
    <t>第一部分　工程措施</t>
  </si>
  <si>
    <t>第二部分　植物措施</t>
  </si>
  <si>
    <t>第三部分　施工临时工程</t>
  </si>
  <si>
    <t>第四部分　独立费用</t>
  </si>
  <si>
    <t>其中：1.水土保持方案报告书编制费</t>
  </si>
  <si>
    <t xml:space="preserve">      2水土保持勘测设计费</t>
  </si>
  <si>
    <t>六</t>
  </si>
  <si>
    <t>水土保持设施补偿费</t>
  </si>
  <si>
    <t>环境保护措施</t>
  </si>
  <si>
    <t>环境监测费</t>
  </si>
  <si>
    <t>环境保护临时措施</t>
  </si>
  <si>
    <t>独立费用</t>
  </si>
  <si>
    <t>其中：科研勘测设计咨询费</t>
  </si>
  <si>
    <t>建筑工程</t>
  </si>
  <si>
    <t>安装工程</t>
  </si>
  <si>
    <t>设备购置费</t>
  </si>
  <si>
    <t>其他费用</t>
  </si>
  <si>
    <t>其中：勘测设计费</t>
  </si>
  <si>
    <t>预备费</t>
  </si>
  <si>
    <t>合计</t>
  </si>
  <si>
    <t xml:space="preserve"> 建筑工程概算表</t>
  </si>
  <si>
    <t>序 号</t>
  </si>
  <si>
    <t>单位</t>
  </si>
  <si>
    <t>数量</t>
  </si>
  <si>
    <t>单价(元）</t>
  </si>
  <si>
    <t>合计（元）</t>
  </si>
  <si>
    <t>第三排水沟平罗县治理段（桩号8+250~40+203.65）</t>
  </si>
  <si>
    <t>生态护岸工程</t>
  </si>
  <si>
    <t>生态护岸土方工程</t>
  </si>
  <si>
    <t>34+673～36+600（左岸）</t>
  </si>
  <si>
    <t>m</t>
  </si>
  <si>
    <t>土方开挖</t>
  </si>
  <si>
    <r>
      <rPr>
        <sz val="10"/>
        <rFont val="宋体"/>
        <charset val="134"/>
      </rPr>
      <t>m</t>
    </r>
    <r>
      <rPr>
        <vertAlign val="superscript"/>
        <sz val="10"/>
        <rFont val="宋体"/>
        <charset val="134"/>
      </rPr>
      <t>3</t>
    </r>
  </si>
  <si>
    <t>土方回填</t>
  </si>
  <si>
    <t>弃土外运（运距15km）</t>
  </si>
  <si>
    <t>36+600～38+614（左右岸）</t>
  </si>
  <si>
    <t>弃土外运（运距16km）</t>
  </si>
  <si>
    <t>38+614～39+650（右岸）</t>
  </si>
  <si>
    <r>
      <rPr>
        <sz val="10"/>
        <rFont val="宋体"/>
        <charset val="134"/>
      </rPr>
      <t>m</t>
    </r>
    <r>
      <rPr>
        <vertAlign val="superscript"/>
        <sz val="10"/>
        <rFont val="宋体"/>
        <charset val="134"/>
      </rPr>
      <t>2</t>
    </r>
  </si>
  <si>
    <t>弃土外运（运距17km）</t>
  </si>
  <si>
    <t>1.4</t>
  </si>
  <si>
    <t>39+859～40+204（左岸）</t>
  </si>
  <si>
    <t>生态护岸砌护工程</t>
  </si>
  <si>
    <t>格宾石笼（2*2*0.3）</t>
  </si>
  <si>
    <r>
      <rPr>
        <sz val="10"/>
        <rFont val="宋体"/>
        <charset val="134"/>
      </rPr>
      <t>土工布（250g/m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）</t>
    </r>
  </si>
  <si>
    <t>基础格宾石笼（2*1*1.2）</t>
  </si>
  <si>
    <r>
      <rPr>
        <sz val="10"/>
        <rFont val="宋体"/>
        <charset val="134"/>
      </rPr>
      <t>36+600</t>
    </r>
    <r>
      <rPr>
        <sz val="10"/>
        <rFont val="宋体"/>
        <charset val="134"/>
      </rPr>
      <t>～</t>
    </r>
    <r>
      <rPr>
        <sz val="10"/>
        <rFont val="宋体"/>
        <charset val="134"/>
      </rPr>
      <t>38+660</t>
    </r>
    <r>
      <rPr>
        <sz val="10"/>
        <rFont val="宋体"/>
        <charset val="134"/>
      </rPr>
      <t>（左右岸）</t>
    </r>
  </si>
  <si>
    <r>
      <rPr>
        <sz val="10"/>
        <rFont val="宋体"/>
        <charset val="134"/>
      </rPr>
      <t>格宾石笼（</t>
    </r>
    <r>
      <rPr>
        <sz val="10"/>
        <rFont val="宋体"/>
        <charset val="134"/>
      </rPr>
      <t>2*2*0.3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</si>
  <si>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土工布（</t>
    </r>
    <r>
      <rPr>
        <sz val="10"/>
        <rFont val="宋体"/>
        <charset val="134"/>
      </rPr>
      <t>250g/m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</si>
  <si>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基础格宾石笼（</t>
    </r>
    <r>
      <rPr>
        <sz val="10"/>
        <rFont val="宋体"/>
        <charset val="134"/>
      </rPr>
      <t>2*1*1.2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</si>
  <si>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38+660</t>
    </r>
    <r>
      <rPr>
        <sz val="10"/>
        <rFont val="宋体"/>
        <charset val="134"/>
      </rPr>
      <t>～</t>
    </r>
    <r>
      <rPr>
        <sz val="10"/>
        <rFont val="宋体"/>
        <charset val="134"/>
      </rPr>
      <t>39+859</t>
    </r>
    <r>
      <rPr>
        <sz val="10"/>
        <rFont val="宋体"/>
        <charset val="134"/>
      </rPr>
      <t>（右岸）</t>
    </r>
  </si>
  <si>
    <t>附属建筑物改造工程</t>
  </si>
  <si>
    <t>2.4.1</t>
  </si>
  <si>
    <t>尾水翻建</t>
  </si>
  <si>
    <t>2.4.1.1</t>
  </si>
  <si>
    <t>管涵（直径1m）翻建</t>
  </si>
  <si>
    <t>座</t>
  </si>
  <si>
    <t>土方回填（压实度不小于0.95）</t>
  </si>
  <si>
    <t>MU30、M7.5浆砌石护坡（抗硫）</t>
  </si>
  <si>
    <t>MU30、M7.5浆砌石挡土墙（抗硫）</t>
  </si>
  <si>
    <t>C25现浇砼贴面（F200，W6，抗硫）</t>
  </si>
  <si>
    <t>C20现浇砼台帽（ F200）</t>
  </si>
  <si>
    <t>钢筋制安（砼贴面钢筋网片）</t>
  </si>
  <si>
    <t>t</t>
  </si>
  <si>
    <t>钢筋混凝土Ⅱ级排水管购置、运输、安装（承插式、胶圈连接,直径1m）</t>
  </si>
  <si>
    <t>C25现浇砼管座（F200，W6，抗硫）</t>
  </si>
  <si>
    <t>MU30、M7.5浆砌石基础</t>
  </si>
  <si>
    <t>细部结构</t>
  </si>
  <si>
    <t>2.4.1.2</t>
  </si>
  <si>
    <t>管涵翻建（直径1.5m）</t>
  </si>
  <si>
    <t>钢筋混凝土Ⅱ级排水管购置、运输、安装（承插式、胶圈连接,直径1.5m）</t>
  </si>
  <si>
    <t>2.4.1.3</t>
  </si>
  <si>
    <t>盖板涵（2*2m）翻建</t>
  </si>
  <si>
    <t xml:space="preserve">C30混凝土（盖板） 预制 </t>
  </si>
  <si>
    <t>C30混凝土（支座） 抗硫</t>
  </si>
  <si>
    <t>C20混凝土（台帽） 抗硫</t>
  </si>
  <si>
    <t>MU30、M7.5浆砌石挡土墙、护底（抗硫）</t>
  </si>
  <si>
    <t>钢筋制安</t>
  </si>
  <si>
    <t>2.4.2</t>
  </si>
  <si>
    <t>尾水改造</t>
  </si>
  <si>
    <t>2.4.2.1</t>
  </si>
  <si>
    <t>管涵出水口改造</t>
  </si>
  <si>
    <t>浆砌石拆除及运输</t>
  </si>
  <si>
    <t>C20现浇砼台帽（F200，抗硫）</t>
  </si>
  <si>
    <t>2.4.2.2</t>
  </si>
  <si>
    <t>盖板涵出水口改造</t>
  </si>
  <si>
    <t>C20混凝土台帽（F200，抗硫）</t>
  </si>
  <si>
    <t>2.4.3</t>
  </si>
  <si>
    <t>尾水出水口护底改造</t>
  </si>
  <si>
    <t>MU30、M7.5浆砌石基础（抗硫）</t>
  </si>
  <si>
    <t>C25现浇砼贴面 （F200，W6，抗硫）</t>
  </si>
  <si>
    <t>污染底泥清除</t>
  </si>
  <si>
    <t>km</t>
  </si>
  <si>
    <t>清淤（污染底泥）（运至弃土场，运距10km）</t>
  </si>
  <si>
    <t>生态沟渠工程</t>
  </si>
  <si>
    <t>裸露岸坡绿化</t>
  </si>
  <si>
    <t>生态土方工程</t>
  </si>
  <si>
    <t>土地平整</t>
  </si>
  <si>
    <t>回填种植土 10km</t>
  </si>
  <si>
    <t>混播草籽</t>
  </si>
  <si>
    <t>岸坡混播草籽（蒙古冰草+披碱草+紫花苜蓿+沙打旺+食叶草+马蔺）</t>
  </si>
  <si>
    <t>植物养护（二年）</t>
  </si>
  <si>
    <t>新栽植草籽养护</t>
  </si>
  <si>
    <t>格宾护岸绿化</t>
  </si>
  <si>
    <t>格宾混播草籽（蒙古冰草+针茅草+蒲公英+草木犀+紫花地丁）</t>
  </si>
  <si>
    <t>格宾护岸绿化养护（二年）</t>
  </si>
  <si>
    <t>挺水植物种植</t>
  </si>
  <si>
    <t>播种挺水植物草籽（芦苇+拂子茅+香蒲+千屈菜+碱蓬+芨芨草）</t>
  </si>
  <si>
    <t>挺水植物种植养护</t>
  </si>
  <si>
    <t>绿环灌溉工程</t>
  </si>
  <si>
    <t>首部加压泵站工程</t>
  </si>
  <si>
    <t/>
  </si>
  <si>
    <t>1#泵房加压系统首部加压泵站</t>
  </si>
  <si>
    <t>1.1.1</t>
  </si>
  <si>
    <t>进水建筑物</t>
  </si>
  <si>
    <r>
      <rPr>
        <sz val="10"/>
        <color rgb="FF000000"/>
        <rFont val="宋体"/>
        <charset val="134"/>
      </rPr>
      <t>m</t>
    </r>
    <r>
      <rPr>
        <vertAlign val="superscript"/>
        <sz val="10"/>
        <color rgb="FF000000"/>
        <rFont val="宋体"/>
        <charset val="134"/>
      </rPr>
      <t>3</t>
    </r>
  </si>
  <si>
    <t>Mu30 M7.5浆砌石挡土墙</t>
  </si>
  <si>
    <t>Mu30 M7.5浆砌石基础</t>
  </si>
  <si>
    <t>现浇C25、W6、F150混凝土挡土墙面层</t>
  </si>
  <si>
    <t>现浇C20混凝土台帽</t>
  </si>
  <si>
    <t>1.1.2</t>
  </si>
  <si>
    <t>进水闸</t>
  </si>
  <si>
    <t>现浇C30、W6、F200混凝土闸墩</t>
  </si>
  <si>
    <t>现浇C30、W6、F200混凝土底板</t>
  </si>
  <si>
    <t>现浇C30、W6、F200混凝土胸墙</t>
  </si>
  <si>
    <t>现浇C30、W6、F200混凝土启闭机工作桥台</t>
  </si>
  <si>
    <t>现浇C20混凝土垫层</t>
  </si>
  <si>
    <t>钢筋制安（含挡墙面层钢筋网）</t>
  </si>
  <si>
    <t>钢栏杆、钢爬梯</t>
  </si>
  <si>
    <t>651止水橡皮</t>
  </si>
  <si>
    <t>聚乙烯闭孔泡沫板(100kg/m³)</t>
  </si>
  <si>
    <r>
      <rPr>
        <sz val="10"/>
        <color theme="1"/>
        <rFont val="宋体"/>
        <charset val="134"/>
      </rPr>
      <t>m</t>
    </r>
    <r>
      <rPr>
        <vertAlign val="superscript"/>
        <sz val="10"/>
        <rFont val="宋体"/>
        <charset val="134"/>
      </rPr>
      <t>3</t>
    </r>
  </si>
  <si>
    <t>双组份聚硫防水密封膏</t>
  </si>
  <si>
    <t>1.1.3</t>
  </si>
  <si>
    <t>进水箱涵</t>
  </si>
  <si>
    <t>现浇箱涵C30、W6、F200混凝土</t>
  </si>
  <si>
    <t>1.1.4</t>
  </si>
  <si>
    <t>进水室</t>
  </si>
  <si>
    <t>现浇C30、W6、F200钢筋混凝土侧墙</t>
  </si>
  <si>
    <t>现浇C30、W6、F200钢筋混凝土底板</t>
  </si>
  <si>
    <t>预制C25、W6、F150混凝土盖板</t>
  </si>
  <si>
    <t>主厂房工程</t>
  </si>
  <si>
    <t>300mm厚清基土方 运距0.5km</t>
  </si>
  <si>
    <t>泵房土方开挖</t>
  </si>
  <si>
    <t>泵房土方回填（压实度≥0.97）</t>
  </si>
  <si>
    <t>C30混凝土地坪 (W6、F150)</t>
  </si>
  <si>
    <t>500mm厚3:7灰土（压实系数≥0.97）</t>
  </si>
  <si>
    <t>泵房土方回填（压实度≥0.97）运距0.5km+压实</t>
  </si>
  <si>
    <t>3000mm厚原土翻夯（夯实，压实系数≥0.97）</t>
  </si>
  <si>
    <t>现浇C25混凝土镇墩 (W6、F150)</t>
  </si>
  <si>
    <t>现浇C30混凝土镇墩 (W6、F150)</t>
  </si>
  <si>
    <t>C20混凝土垫层</t>
  </si>
  <si>
    <t>绿化灌溉机井泵房</t>
  </si>
  <si>
    <t>泵站水工工程</t>
  </si>
  <si>
    <t>土方开挖（壤土）</t>
  </si>
  <si>
    <t>土方回填（壤土）</t>
  </si>
  <si>
    <t>现浇C30、W6、F150钢筋砼封闭圈墙壁</t>
  </si>
  <si>
    <t>现浇C30、W6、F150钢筋砼底板</t>
  </si>
  <si>
    <t>现浇C30、F150钢筋砼机墩</t>
  </si>
  <si>
    <t>现浇C30、W6、F150钢筋砼集水井</t>
  </si>
  <si>
    <t>现浇C20砼垫层</t>
  </si>
  <si>
    <t>现浇C30、F150二期砼</t>
  </si>
  <si>
    <t>T2A08钢爬梯、LG11钢栏杆</t>
  </si>
  <si>
    <t>预埋件钢材加工</t>
  </si>
  <si>
    <t>50mm双组份聚硫防水密封膏</t>
  </si>
  <si>
    <t>沥青麻刀</t>
  </si>
  <si>
    <t>电磁流量计井</t>
  </si>
  <si>
    <t>预制钢筋砼阀井（上口井内径DN0.7m，下口井内径DN1.5m，壁厚100mm，深1.5m，配套混凝土井盖）</t>
  </si>
  <si>
    <t>套</t>
  </si>
  <si>
    <t>现浇C25混凝土底板 (W6、F150)</t>
  </si>
  <si>
    <t>m³</t>
  </si>
  <si>
    <t>C25砼支墩</t>
  </si>
  <si>
    <t>C25砼井盖支撑</t>
  </si>
  <si>
    <t>爬梯钢筋制安</t>
  </si>
  <si>
    <t>M7.5水泥砂浆填缝</t>
  </si>
  <si>
    <t>阀井内外抹面（防水水泥砂浆）</t>
  </si>
  <si>
    <t>2#泵房加压系统首部加压泵站</t>
  </si>
  <si>
    <t>1.2.1</t>
  </si>
  <si>
    <t>1.2.2</t>
  </si>
  <si>
    <t>1.2.3</t>
  </si>
  <si>
    <t>1.2.4</t>
  </si>
  <si>
    <t>3#泵房加压系统首部加压泵站</t>
  </si>
  <si>
    <t>1.3.1</t>
  </si>
  <si>
    <t>1.3.2</t>
  </si>
  <si>
    <t>1.3.3</t>
  </si>
  <si>
    <t>1.3.4</t>
  </si>
  <si>
    <t>现浇25混凝土镇墩 (W6、F150)</t>
  </si>
  <si>
    <t>管网工程</t>
  </si>
  <si>
    <t>1#系统</t>
  </si>
  <si>
    <t>2.1.1</t>
  </si>
  <si>
    <t>干管（地埋管及管件）</t>
  </si>
  <si>
    <t>(一)</t>
  </si>
  <si>
    <t>（1）</t>
  </si>
  <si>
    <t>管材及安装</t>
  </si>
  <si>
    <t>PVC-U管Φ160/0.8MPa（地埋管）</t>
  </si>
  <si>
    <t>PVC-U管Φ160/0.63MPa（地埋管）</t>
  </si>
  <si>
    <t>PVC-U管Φ160安装费</t>
  </si>
  <si>
    <t>（2）</t>
  </si>
  <si>
    <t>管件及安装(10%)</t>
  </si>
  <si>
    <t>项</t>
  </si>
  <si>
    <t>（3）</t>
  </si>
  <si>
    <t>管道土方</t>
  </si>
  <si>
    <t>管道土方开挖</t>
  </si>
  <si>
    <t>管道土方回填</t>
  </si>
  <si>
    <t>m3</t>
  </si>
  <si>
    <t>（4）</t>
  </si>
  <si>
    <t>检修闸阀井</t>
  </si>
  <si>
    <t>塑脂井（井径D=0.7m，深H=1.5m，配套井盖）</t>
  </si>
  <si>
    <t>DN160闸阀</t>
  </si>
  <si>
    <t>（5）</t>
  </si>
  <si>
    <t>穿渠拉管</t>
  </si>
  <si>
    <t>DN160 PE拉管 1.6Mpa</t>
  </si>
  <si>
    <t>2.1.2</t>
  </si>
  <si>
    <t>辅管（地面管及管件）</t>
  </si>
  <si>
    <t>PVC-U管Φ125/0.63MPa</t>
  </si>
  <si>
    <t>PVC-U管Φ90/0.63MPa</t>
  </si>
  <si>
    <t>PVC-U管Φ63/0.63MPa</t>
  </si>
  <si>
    <t>PVC-U管Φ125/0.63MPa（竖管）</t>
  </si>
  <si>
    <t>PVC管Φ90-63安装费</t>
  </si>
  <si>
    <t>PVC管Φ125安装费</t>
  </si>
  <si>
    <t>管件费（10%）</t>
  </si>
  <si>
    <t>PE管Φ63-125安装费</t>
  </si>
  <si>
    <t>阀件保护箱</t>
  </si>
  <si>
    <t>电磁阀保护箱（塑料井）</t>
  </si>
  <si>
    <t>减压阀保护箱（塑料井）</t>
  </si>
  <si>
    <t>减压阀Φ125</t>
  </si>
  <si>
    <t>个</t>
  </si>
  <si>
    <t>2.1.3</t>
  </si>
  <si>
    <t>排水管（地埋管及管材）</t>
  </si>
  <si>
    <t>3</t>
  </si>
  <si>
    <t>PVC-U管Φ63/0.6MPa</t>
  </si>
  <si>
    <t>PVC-U管Φ63 安装费</t>
  </si>
  <si>
    <t>管件及安装（10%）</t>
  </si>
  <si>
    <t>PVC-U管Φ63安装费</t>
  </si>
  <si>
    <t>排水井</t>
  </si>
  <si>
    <t>C25预制钢筋砼阀井（上口井内径DN0.7m，下口井内径DN1.5m，壁厚120mm，深2.0m，配套砼井盖）</t>
  </si>
  <si>
    <t>现浇C20砼底板</t>
  </si>
  <si>
    <t>砂砾石</t>
  </si>
  <si>
    <t>爬梯制安</t>
  </si>
  <si>
    <t>水泥砂浆填缝</t>
  </si>
  <si>
    <t>PVC-UΦ63球阀</t>
  </si>
  <si>
    <t>2.1.4</t>
  </si>
  <si>
    <t>支管（地面管及管件）</t>
  </si>
  <si>
    <t>PE管Φ50/1.0MPa（支管）(PE80级)</t>
  </si>
  <si>
    <t>立管(1.25MPaPE管)Φ20×1.5m(PE80级)</t>
  </si>
  <si>
    <t>PE管Φ50安装费</t>
  </si>
  <si>
    <t>PE管Φ20安装费</t>
  </si>
  <si>
    <t>PE管Φ20-50安装费</t>
  </si>
  <si>
    <t>管件(10%)</t>
  </si>
  <si>
    <t>2.1.5</t>
  </si>
  <si>
    <t>喷头</t>
  </si>
  <si>
    <t>地埋升降式旋转喷头（喷头流量0.28m³/h,射程10.2米，工作压力0.2MPa</t>
  </si>
  <si>
    <t>地埋升降式旋转喷头（喷头流量1.21m³/h,射程14米，工作压力0.25MPa）</t>
  </si>
  <si>
    <t>地埋升降式旋转喷头安装费</t>
  </si>
  <si>
    <t>2.1.6</t>
  </si>
  <si>
    <t>镇墩</t>
  </si>
  <si>
    <t>C20砼镇墩</t>
  </si>
  <si>
    <t>2#系统</t>
  </si>
  <si>
    <t>(二)</t>
  </si>
  <si>
    <t>2.2.1</t>
  </si>
  <si>
    <t>PVC-U管Φ125/0.8MPa（地埋管）</t>
  </si>
  <si>
    <t>PVC-U管Φ125/0.63MPa（地埋管）</t>
  </si>
  <si>
    <t>PVC-U管Φ125安装费</t>
  </si>
  <si>
    <t>DN125闸阀</t>
  </si>
  <si>
    <t>DN125PE拉管 1.6Mpa</t>
  </si>
  <si>
    <t>DN125 PE拉管 1.6Mpa</t>
  </si>
  <si>
    <t>2.2.2</t>
  </si>
  <si>
    <t>PVC-U管Φ110/0.63MPa</t>
  </si>
  <si>
    <t>PVC管Φ110-125安装费</t>
  </si>
  <si>
    <t>减压阀Φ110</t>
  </si>
  <si>
    <t>2.2.3</t>
  </si>
  <si>
    <t>2.2.4</t>
  </si>
  <si>
    <t>2.2.5</t>
  </si>
  <si>
    <t>地埋升降式旋转喷头（喷头流量0.81m³/h,射程13米，工作压力0.25MPa）</t>
  </si>
  <si>
    <t>3#系统</t>
  </si>
  <si>
    <t>(三)</t>
  </si>
  <si>
    <t>2.3.1</t>
  </si>
  <si>
    <t>2.3.2</t>
  </si>
  <si>
    <t>2.3.3</t>
  </si>
  <si>
    <t>2.3.4</t>
  </si>
  <si>
    <t>2.3.5</t>
  </si>
  <si>
    <t>临时工程概算表</t>
  </si>
  <si>
    <t>单位：元</t>
  </si>
  <si>
    <t>工程项目名称</t>
  </si>
  <si>
    <t>工程量</t>
  </si>
  <si>
    <t>单价</t>
  </si>
  <si>
    <t>施工导流</t>
  </si>
  <si>
    <t>施工围堰</t>
  </si>
  <si>
    <t>施工排水</t>
  </si>
  <si>
    <t>降水井</t>
  </si>
  <si>
    <t>潜水泵基坑抽水台时</t>
  </si>
  <si>
    <t>台时</t>
  </si>
  <si>
    <t>施工交通工程</t>
  </si>
  <si>
    <t>5.0m宽砂砾石路面</t>
  </si>
  <si>
    <t>施工场外供电工程</t>
  </si>
  <si>
    <t>施工房屋建筑工程</t>
  </si>
  <si>
    <t>施工仓库</t>
  </si>
  <si>
    <t>办公、生活及文化福利建筑</t>
  </si>
  <si>
    <t>其它施工临时工程</t>
  </si>
  <si>
    <t>独立费用计算表</t>
  </si>
  <si>
    <t>工程费用或名称</t>
  </si>
  <si>
    <t>万元</t>
  </si>
  <si>
    <t xml:space="preserve">二 </t>
  </si>
  <si>
    <t>工程监理费</t>
  </si>
  <si>
    <t>工程勘测设计费</t>
  </si>
  <si>
    <t>工程勘测费</t>
  </si>
  <si>
    <t>机电、金属结构设备及安装工程概算表</t>
  </si>
  <si>
    <t>项目名称</t>
  </si>
  <si>
    <t>型号</t>
  </si>
  <si>
    <t>单　价（元）</t>
  </si>
  <si>
    <t>合　计（元）</t>
  </si>
  <si>
    <t>安装费</t>
  </si>
  <si>
    <t>设备费</t>
  </si>
  <si>
    <t>1#加压泵站</t>
  </si>
  <si>
    <t>单级单吸立式离心泵</t>
  </si>
  <si>
    <t>Q=50m3/h ，H=64m，η≥62%，NPSHr≤4.0m，n=2900rpm</t>
  </si>
  <si>
    <t>台</t>
  </si>
  <si>
    <t>进水钢制伸缩节</t>
  </si>
  <si>
    <r>
      <rPr>
        <sz val="10"/>
        <color rgb="FF000000"/>
        <rFont val="宋体"/>
        <charset val="134"/>
      </rPr>
      <t>CC2F</t>
    </r>
    <r>
      <rPr>
        <sz val="10"/>
        <color rgb="FF000000"/>
        <rFont val="宋体"/>
        <charset val="134"/>
      </rPr>
      <t xml:space="preserve">型  </t>
    </r>
    <r>
      <rPr>
        <sz val="10"/>
        <color rgb="FF000000"/>
        <rFont val="宋体"/>
        <charset val="134"/>
      </rPr>
      <t>DN150  PN10</t>
    </r>
  </si>
  <si>
    <t>进水电动蝶阀</t>
  </si>
  <si>
    <r>
      <rPr>
        <sz val="10"/>
        <color rgb="FF000000"/>
        <rFont val="宋体"/>
        <charset val="134"/>
      </rPr>
      <t>D942X-10</t>
    </r>
    <r>
      <rPr>
        <sz val="10"/>
        <color rgb="FF000000"/>
        <rFont val="宋体"/>
        <charset val="134"/>
      </rPr>
      <t xml:space="preserve">  DN150</t>
    </r>
  </si>
  <si>
    <t>出水钢制伸缩节</t>
  </si>
  <si>
    <t>出水电动蝶阀</t>
  </si>
  <si>
    <t>砂石+叠片式组合过滤器</t>
  </si>
  <si>
    <r>
      <rPr>
        <sz val="10"/>
        <color rgb="FF000000"/>
        <rFont val="宋体"/>
        <charset val="134"/>
      </rPr>
      <t>Q=80m</t>
    </r>
    <r>
      <rPr>
        <vertAlign val="superscript"/>
        <sz val="10"/>
        <color rgb="FF000000"/>
        <rFont val="宋体"/>
        <charset val="134"/>
      </rPr>
      <t>3</t>
    </r>
    <r>
      <rPr>
        <sz val="10"/>
        <color rgb="FF000000"/>
        <rFont val="宋体"/>
        <charset val="134"/>
      </rPr>
      <t>/h  120目  1.0MPa</t>
    </r>
  </si>
  <si>
    <t>出水静音止回阀</t>
  </si>
  <si>
    <r>
      <rPr>
        <sz val="10"/>
        <color rgb="FF000000"/>
        <rFont val="宋体"/>
        <charset val="134"/>
      </rPr>
      <t>DN150</t>
    </r>
    <r>
      <rPr>
        <sz val="10"/>
        <color rgb="FF000000"/>
        <rFont val="宋体"/>
        <charset val="134"/>
      </rPr>
      <t xml:space="preserve">  PN10</t>
    </r>
  </si>
  <si>
    <t>钢制伸缩节</t>
  </si>
  <si>
    <r>
      <rPr>
        <sz val="10"/>
        <color rgb="FF000000"/>
        <rFont val="宋体"/>
        <charset val="134"/>
      </rPr>
      <t>CC2F</t>
    </r>
    <r>
      <rPr>
        <sz val="10"/>
        <color rgb="FF000000"/>
        <rFont val="宋体"/>
        <charset val="134"/>
      </rPr>
      <t xml:space="preserve">型 </t>
    </r>
    <r>
      <rPr>
        <sz val="10"/>
        <color rgb="FF000000"/>
        <rFont val="宋体"/>
        <charset val="134"/>
      </rPr>
      <t xml:space="preserve"> DN150   PN10</t>
    </r>
  </si>
  <si>
    <t>出水手动蝶阀</t>
  </si>
  <si>
    <r>
      <rPr>
        <sz val="10"/>
        <color rgb="FF000000"/>
        <rFont val="宋体"/>
        <charset val="134"/>
      </rPr>
      <t>D342X-10</t>
    </r>
    <r>
      <rPr>
        <sz val="10"/>
        <color rgb="FF000000"/>
        <rFont val="宋体"/>
        <charset val="134"/>
      </rPr>
      <t xml:space="preserve">  DN150</t>
    </r>
  </si>
  <si>
    <t>排气补气阀（配套闸阀、缓冲塞阀）</t>
  </si>
  <si>
    <r>
      <rPr>
        <sz val="10"/>
        <color rgb="FF000000"/>
        <rFont val="宋体"/>
        <charset val="134"/>
      </rPr>
      <t>DN50</t>
    </r>
    <r>
      <rPr>
        <sz val="10"/>
        <color rgb="FF000000"/>
        <rFont val="宋体"/>
        <charset val="134"/>
      </rPr>
      <t xml:space="preserve">  PN10</t>
    </r>
  </si>
  <si>
    <t>电磁流量计</t>
  </si>
  <si>
    <r>
      <rPr>
        <sz val="10"/>
        <color rgb="FF000000"/>
        <rFont val="宋体"/>
        <charset val="134"/>
      </rPr>
      <t>C2F</t>
    </r>
    <r>
      <rPr>
        <sz val="10"/>
        <color rgb="FF000000"/>
        <rFont val="宋体"/>
        <charset val="134"/>
      </rPr>
      <t xml:space="preserve">型  </t>
    </r>
    <r>
      <rPr>
        <sz val="10"/>
        <color rgb="FF000000"/>
        <rFont val="宋体"/>
        <charset val="134"/>
      </rPr>
      <t>DN150  PN10</t>
    </r>
  </si>
  <si>
    <t>吊车</t>
  </si>
  <si>
    <t>LX-1t</t>
  </si>
  <si>
    <t>真空泵及配套附件（含电机/汽水分离罐/管道/阀件/电控箱等）</t>
  </si>
  <si>
    <t>SZB-4</t>
  </si>
  <si>
    <t>固定式式排水泵</t>
  </si>
  <si>
    <t>65WQ30-10-2.2</t>
  </si>
  <si>
    <t>橡胶柔性防水套管</t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</si>
  <si>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DN150  L=500mm</t>
    </r>
  </si>
  <si>
    <t>2#加压泵站</t>
  </si>
  <si>
    <t>水泵</t>
  </si>
  <si>
    <r>
      <rPr>
        <sz val="10"/>
        <color rgb="FF000000"/>
        <rFont val="宋体"/>
        <charset val="134"/>
      </rPr>
      <t>单级单吸立式离心泵</t>
    </r>
    <r>
      <rPr>
        <sz val="10"/>
        <color rgb="FF000000"/>
        <rFont val="宋体"/>
        <charset val="134"/>
      </rPr>
      <t xml:space="preserve">
Q=31m3/h 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宋体"/>
        <charset val="134"/>
      </rPr>
      <t>H=69m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宋体"/>
        <charset val="134"/>
      </rPr>
      <t>η≥</t>
    </r>
    <r>
      <rPr>
        <sz val="10"/>
        <color rgb="FF000000"/>
        <rFont val="宋体"/>
        <charset val="134"/>
      </rPr>
      <t>53</t>
    </r>
    <r>
      <rPr>
        <sz val="10"/>
        <color rgb="FF000000"/>
        <rFont val="宋体"/>
        <charset val="134"/>
      </rPr>
      <t>%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宋体"/>
        <charset val="134"/>
      </rPr>
      <t>NPSHr≤</t>
    </r>
    <r>
      <rPr>
        <sz val="10"/>
        <color rgb="FF000000"/>
        <rFont val="宋体"/>
        <charset val="134"/>
      </rPr>
      <t>2.2</t>
    </r>
    <r>
      <rPr>
        <sz val="10"/>
        <color rgb="FF000000"/>
        <rFont val="宋体"/>
        <charset val="134"/>
      </rPr>
      <t>m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宋体"/>
        <charset val="134"/>
      </rPr>
      <t>n=2900rpm</t>
    </r>
  </si>
  <si>
    <r>
      <rPr>
        <sz val="10"/>
        <color rgb="FF000000"/>
        <rFont val="宋体"/>
        <charset val="134"/>
      </rPr>
      <t>CC2F</t>
    </r>
    <r>
      <rPr>
        <sz val="10"/>
        <color rgb="FF000000"/>
        <rFont val="宋体"/>
        <charset val="134"/>
      </rPr>
      <t xml:space="preserve">型  </t>
    </r>
    <r>
      <rPr>
        <sz val="10"/>
        <color rgb="FF000000"/>
        <rFont val="宋体"/>
        <charset val="134"/>
      </rPr>
      <t>DN100  PN10</t>
    </r>
  </si>
  <si>
    <r>
      <rPr>
        <sz val="10"/>
        <color rgb="FF000000"/>
        <rFont val="宋体"/>
        <charset val="134"/>
      </rPr>
      <t>D942X-10</t>
    </r>
    <r>
      <rPr>
        <sz val="10"/>
        <color rgb="FF000000"/>
        <rFont val="宋体"/>
        <charset val="134"/>
      </rPr>
      <t xml:space="preserve">  DN100</t>
    </r>
  </si>
  <si>
    <r>
      <rPr>
        <sz val="10"/>
        <color rgb="FF000000"/>
        <rFont val="宋体"/>
        <charset val="134"/>
      </rPr>
      <t>砂石</t>
    </r>
    <r>
      <rPr>
        <sz val="10"/>
        <color rgb="FF000000"/>
        <rFont val="宋体"/>
        <charset val="134"/>
      </rPr>
      <t>+</t>
    </r>
    <r>
      <rPr>
        <sz val="10"/>
        <color rgb="FF000000"/>
        <rFont val="宋体"/>
        <charset val="134"/>
      </rPr>
      <t>叠片式组合过滤器</t>
    </r>
  </si>
  <si>
    <r>
      <rPr>
        <sz val="10"/>
        <color rgb="FF000000"/>
        <rFont val="宋体"/>
        <charset val="134"/>
      </rPr>
      <t>Q=60m</t>
    </r>
    <r>
      <rPr>
        <vertAlign val="superscript"/>
        <sz val="10"/>
        <color indexed="8"/>
        <rFont val="宋体"/>
        <charset val="134"/>
      </rPr>
      <t>3</t>
    </r>
    <r>
      <rPr>
        <sz val="10"/>
        <color rgb="FF000000"/>
        <rFont val="宋体"/>
        <charset val="134"/>
      </rPr>
      <t>/h  120</t>
    </r>
    <r>
      <rPr>
        <sz val="10"/>
        <color rgb="FF000000"/>
        <rFont val="宋体"/>
        <charset val="134"/>
      </rPr>
      <t xml:space="preserve">目  </t>
    </r>
    <r>
      <rPr>
        <sz val="10"/>
        <color rgb="FF000000"/>
        <rFont val="宋体"/>
        <charset val="134"/>
      </rPr>
      <t>1.0MPa</t>
    </r>
  </si>
  <si>
    <r>
      <rPr>
        <sz val="10"/>
        <color rgb="FF000000"/>
        <rFont val="宋体"/>
        <charset val="134"/>
      </rPr>
      <t>DN100</t>
    </r>
    <r>
      <rPr>
        <sz val="10"/>
        <color rgb="FF000000"/>
        <rFont val="宋体"/>
        <charset val="134"/>
      </rPr>
      <t xml:space="preserve">  PN10</t>
    </r>
  </si>
  <si>
    <r>
      <rPr>
        <sz val="10"/>
        <color rgb="FF000000"/>
        <rFont val="宋体"/>
        <charset val="134"/>
      </rPr>
      <t>CC2F</t>
    </r>
    <r>
      <rPr>
        <sz val="10"/>
        <color rgb="FF000000"/>
        <rFont val="宋体"/>
        <charset val="134"/>
      </rPr>
      <t xml:space="preserve">型 </t>
    </r>
    <r>
      <rPr>
        <sz val="10"/>
        <color rgb="FF000000"/>
        <rFont val="宋体"/>
        <charset val="134"/>
      </rPr>
      <t xml:space="preserve"> DN100   PN10</t>
    </r>
  </si>
  <si>
    <r>
      <rPr>
        <sz val="10"/>
        <color rgb="FF000000"/>
        <rFont val="宋体"/>
        <charset val="134"/>
      </rPr>
      <t>D342X-10</t>
    </r>
    <r>
      <rPr>
        <sz val="10"/>
        <color rgb="FF000000"/>
        <rFont val="宋体"/>
        <charset val="134"/>
      </rPr>
      <t xml:space="preserve">  DN100</t>
    </r>
  </si>
  <si>
    <r>
      <rPr>
        <sz val="10"/>
        <color rgb="FF000000"/>
        <rFont val="宋体"/>
        <charset val="134"/>
      </rPr>
      <t>DN25</t>
    </r>
    <r>
      <rPr>
        <sz val="10"/>
        <color rgb="FF000000"/>
        <rFont val="宋体"/>
        <charset val="134"/>
      </rPr>
      <t xml:space="preserve">  PN10</t>
    </r>
  </si>
  <si>
    <r>
      <rPr>
        <sz val="10"/>
        <color rgb="FF000000"/>
        <rFont val="宋体"/>
        <charset val="134"/>
      </rPr>
      <t>C2F</t>
    </r>
    <r>
      <rPr>
        <sz val="10"/>
        <color rgb="FF000000"/>
        <rFont val="宋体"/>
        <charset val="134"/>
      </rPr>
      <t xml:space="preserve">型  </t>
    </r>
    <r>
      <rPr>
        <sz val="10"/>
        <color rgb="FF000000"/>
        <rFont val="宋体"/>
        <charset val="134"/>
      </rPr>
      <t>DN100  PN10</t>
    </r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</si>
  <si>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DN100  L=500mm</t>
    </r>
  </si>
  <si>
    <t>3#加压泵站</t>
  </si>
  <si>
    <r>
      <rPr>
        <sz val="10"/>
        <color rgb="FF000000"/>
        <rFont val="宋体"/>
        <charset val="134"/>
      </rPr>
      <t>单级单吸立式离心泵</t>
    </r>
    <r>
      <rPr>
        <sz val="10"/>
        <color rgb="FF000000"/>
        <rFont val="宋体"/>
        <charset val="134"/>
      </rPr>
      <t xml:space="preserve">
Q=37m3/h 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宋体"/>
        <charset val="134"/>
      </rPr>
      <t>H=62m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宋体"/>
        <charset val="134"/>
      </rPr>
      <t>η≥</t>
    </r>
    <r>
      <rPr>
        <sz val="10"/>
        <color rgb="FF000000"/>
        <rFont val="宋体"/>
        <charset val="134"/>
      </rPr>
      <t>59</t>
    </r>
    <r>
      <rPr>
        <sz val="10"/>
        <color rgb="FF000000"/>
        <rFont val="宋体"/>
        <charset val="134"/>
      </rPr>
      <t>%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宋体"/>
        <charset val="134"/>
      </rPr>
      <t>NPSHr≤</t>
    </r>
    <r>
      <rPr>
        <sz val="10"/>
        <color rgb="FF000000"/>
        <rFont val="宋体"/>
        <charset val="134"/>
      </rPr>
      <t>3.0</t>
    </r>
    <r>
      <rPr>
        <sz val="10"/>
        <color rgb="FF000000"/>
        <rFont val="宋体"/>
        <charset val="134"/>
      </rPr>
      <t>m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宋体"/>
        <charset val="134"/>
      </rPr>
      <t>n=2900rpm</t>
    </r>
  </si>
  <si>
    <t>共用设备</t>
  </si>
  <si>
    <t>1#~3#机井泵房 消防</t>
  </si>
  <si>
    <t>MF/ABC4</t>
  </si>
  <si>
    <t>运杂二项费7.749％</t>
  </si>
  <si>
    <t>1#加压泵站主要电气设备</t>
  </si>
  <si>
    <t>变压器</t>
  </si>
  <si>
    <t>S13-50/10/0.4 50KVA</t>
  </si>
  <si>
    <t>计量箱</t>
  </si>
  <si>
    <t>含互感器、塑壳断路器</t>
  </si>
  <si>
    <t>面</t>
  </si>
  <si>
    <t>变频电机</t>
  </si>
  <si>
    <t>YSP180M-2   0.4kV   22kW</t>
  </si>
  <si>
    <t>低压动力柜</t>
  </si>
  <si>
    <t>XL-21型（变频器30KW）</t>
  </si>
  <si>
    <t>动力电缆</t>
  </si>
  <si>
    <t>ZC-YJV22-1-3x35+1x16</t>
  </si>
  <si>
    <t>米</t>
  </si>
  <si>
    <t>ZC-YJV-1-3x16+1x10</t>
  </si>
  <si>
    <t>ZC-YJV-1-3x6+1x4</t>
  </si>
  <si>
    <t>聚氯乙烯绝缘线</t>
  </si>
  <si>
    <t>BV-0.5-2.5</t>
  </si>
  <si>
    <t>BV-0.5-4</t>
  </si>
  <si>
    <t>照明灯具</t>
  </si>
  <si>
    <t>盏</t>
  </si>
  <si>
    <t>避雷带</t>
  </si>
  <si>
    <t>φ8镀锌圆钢</t>
  </si>
  <si>
    <t>接地扁钢</t>
  </si>
  <si>
    <t>-40x4</t>
  </si>
  <si>
    <t>接地极</t>
  </si>
  <si>
    <t>G50 L=2500mm</t>
  </si>
  <si>
    <t>根</t>
  </si>
  <si>
    <t>穿线钢管</t>
  </si>
  <si>
    <t>G100</t>
  </si>
  <si>
    <t>G50</t>
  </si>
  <si>
    <t>G32</t>
  </si>
  <si>
    <t>穿线护管</t>
  </si>
  <si>
    <t>PVC20</t>
  </si>
  <si>
    <t>安全工具</t>
  </si>
  <si>
    <t>安全帽、手套、安全绳 手提式应急灯、防火沙、安全铲、防静电鞋、绝缘胶垫等</t>
  </si>
  <si>
    <t>运杂二项综合费7.749%</t>
  </si>
  <si>
    <t>2#加压泵站主要电气设备</t>
  </si>
  <si>
    <t>3#加压泵站主要电气设备</t>
  </si>
  <si>
    <t>YSP160L-2   0.4kV   18.5kW</t>
  </si>
  <si>
    <t>XL-21型（变频器22KW）</t>
  </si>
  <si>
    <t>（一）</t>
  </si>
  <si>
    <t>加压泵站自动化</t>
  </si>
  <si>
    <t>1#泵房</t>
  </si>
  <si>
    <t>RTU</t>
  </si>
  <si>
    <t>CPU；I/O：≥32DI、≥32DO、≥4AI、≥4AO；通讯：向下通信≥2个RS485，2个以太网口；电源：230V AC/DC, 24 V DC, 8A；包含空开、防静电装置、端子排、设备箱，根据控制要求编制梯形图程序；PLC带触发采集、上传功能，支持4G传输</t>
  </si>
  <si>
    <t>压力传感器</t>
  </si>
  <si>
    <t>带就地数显，工作温度：-30℃~80℃；测量范围：0~1MPa;精确度：±0.25%FS（典型），输出信号：4~20mA  DC。防护等级IP56</t>
  </si>
  <si>
    <t>4G网卡</t>
  </si>
  <si>
    <t>4G卡，每月包含流量不小于20G，包含3年费用</t>
  </si>
  <si>
    <t>张</t>
  </si>
  <si>
    <t>综合布线</t>
  </si>
  <si>
    <t>含电缆、网线等</t>
  </si>
  <si>
    <t>辅材</t>
  </si>
  <si>
    <t>包含穿线管、线槽、五金件等</t>
  </si>
  <si>
    <t>批</t>
  </si>
  <si>
    <t>1#泵房视频监控</t>
  </si>
  <si>
    <t>网络快球摄像机</t>
  </si>
  <si>
    <t>室外型，支持4G（移动、联通、电信）网络传输，兼容3G(移动、联通)；支持国网B接口协议；1920×1080@30fps；0.5Lux/F1.6（彩色），0.01Lux/F1.6（黑白），0luxwithIR；焦距：4.7-94mm，20光学；50米红外照射距离，含支架、电源，内置256G存储，4G通讯模块</t>
  </si>
  <si>
    <t>室内型，支持4G（移动、联通、电信）网络传输，兼容3G(移动、联通)；支持国网B接口协议；1920×1080@30fps；0.5Lux/F1.6（彩色），0.01Lux/F1.6（黑白），0luxwithIR；焦距：4.7-94mm，20光学；50米红外照射距离，含支架、电源，内置256G存储，4G通讯模块</t>
  </si>
  <si>
    <t>5G/4G网卡</t>
  </si>
  <si>
    <t>5G/4G卡，每月包含流量不小于20G，包含3年费用</t>
  </si>
  <si>
    <t>2#泵房</t>
  </si>
  <si>
    <t>2#泵房视频监控</t>
  </si>
  <si>
    <t>3#泵房</t>
  </si>
  <si>
    <t>3#泵房视频监控</t>
  </si>
  <si>
    <t>（二）</t>
  </si>
  <si>
    <t>绿化节灌自动化</t>
  </si>
  <si>
    <t>1#加压滴灌系统</t>
  </si>
  <si>
    <t>智能阀门控制器</t>
  </si>
  <si>
    <t>控制1个阀门状态采集、阀门控制，4G通讯，含内置电池、太阳能供电，包含5年通讯资费</t>
  </si>
  <si>
    <t>DN90电磁阀</t>
  </si>
  <si>
    <r>
      <rPr>
        <sz val="10"/>
        <rFont val="宋体"/>
        <charset val="134"/>
      </rPr>
      <t>法兰连接，UPVC材质或</t>
    </r>
    <r>
      <rPr>
        <sz val="9"/>
        <rFont val="宋体"/>
        <charset val="134"/>
      </rPr>
      <t>增强尼龙PA66材质，供电电压DC9-12V；3路脉冲电磁头配手动开关控制，9-12VDC+皮碗开关检测器，带减压功能</t>
    </r>
  </si>
  <si>
    <t>配套管件、线缆</t>
  </si>
  <si>
    <t>通讯天线、三通、直接、安装支架等配件</t>
  </si>
  <si>
    <t>2#加压滴灌系统</t>
  </si>
  <si>
    <t>DN75电磁阀</t>
  </si>
  <si>
    <t>DN50电磁阀</t>
  </si>
  <si>
    <t>3#加压滴灌系统</t>
  </si>
  <si>
    <t>（三）</t>
  </si>
  <si>
    <t>平罗段设备集成接入</t>
  </si>
  <si>
    <t>组织机构信息</t>
  </si>
  <si>
    <t>泵房信息</t>
  </si>
  <si>
    <t>视频监控点信息</t>
  </si>
  <si>
    <t>过滤器信息</t>
  </si>
  <si>
    <t>施肥机信息</t>
  </si>
  <si>
    <t>电磁（动）阀信息</t>
  </si>
  <si>
    <t>网关信息</t>
  </si>
  <si>
    <t>流量计信息</t>
  </si>
  <si>
    <t>压力计信息</t>
  </si>
  <si>
    <t>专题电子地图</t>
  </si>
  <si>
    <t>亩</t>
  </si>
  <si>
    <t>DN15  壁厚6mm  镀锌钢管</t>
  </si>
  <si>
    <t>Q235C</t>
  </si>
  <si>
    <t>DN150  壁厚6mm  镀锌钢管</t>
  </si>
  <si>
    <t>DN100  壁厚6mm  镀锌钢管</t>
  </si>
  <si>
    <t>总概算审核表（姚伏片区）</t>
  </si>
  <si>
    <t xml:space="preserve"> 建筑工程概算表（姚伏片区）</t>
  </si>
  <si>
    <t>MU30、M7.5浆砌石基础 抗硫</t>
  </si>
  <si>
    <t>机电、金属结构设备及安装工程概算表（姚伏片区）</t>
  </si>
  <si>
    <t>1#机井泵房 消防</t>
  </si>
  <si>
    <t>低压配电柜</t>
  </si>
  <si>
    <t>动力配电箱</t>
  </si>
  <si>
    <t>PXT(R)-</t>
  </si>
  <si>
    <t>投入式液位计</t>
  </si>
  <si>
    <t>测量范围：0~5m；工作环境温度：-30℃~60℃；输出信号：4~20mA</t>
  </si>
  <si>
    <t>4G工业路由器</t>
  </si>
  <si>
    <t>CPU:工业级32位通信处理器;1个RS485串口，内置15KV ESD保护;天线接口：蜂窝：1个标准SMA阴头双天线接口；SIM/UIM卡接口：标准的抽屉式用户卡接口，支持1.8V/3V SIM/UIM卡，内置15KV ESD保护；电源接口：标准的3芯火车头电源插座；电源：DC12V/1.5A;供电范围：DC 5~36V；防护等级：IP30；</t>
  </si>
  <si>
    <t>总概算审核表（城关片区）</t>
  </si>
  <si>
    <t xml:space="preserve"> 建筑工程概算表（城关片区）</t>
  </si>
  <si>
    <t>1.1.1.1</t>
  </si>
  <si>
    <t>1.1.2.1</t>
  </si>
  <si>
    <t>1.1.2.2</t>
  </si>
  <si>
    <t>机电、金属结构设备及安装工程概算表（城关片区）</t>
  </si>
  <si>
    <t>2#机井泵房 消防</t>
  </si>
  <si>
    <t>MNS-（变频器30KW）</t>
  </si>
  <si>
    <t>总概算审核表（高庄片区）</t>
  </si>
  <si>
    <t xml:space="preserve"> 建筑工程概算表（高庄片区）</t>
  </si>
  <si>
    <t>2.4</t>
  </si>
  <si>
    <r>
      <rPr>
        <sz val="10"/>
        <color rgb="FFFF0000"/>
        <rFont val="Times New Roman"/>
        <charset val="0"/>
      </rPr>
      <t>39+859</t>
    </r>
    <r>
      <rPr>
        <sz val="10"/>
        <color rgb="FFFF0000"/>
        <rFont val="宋体"/>
        <charset val="0"/>
      </rPr>
      <t>～</t>
    </r>
    <r>
      <rPr>
        <sz val="10"/>
        <color rgb="FFFF0000"/>
        <rFont val="Times New Roman"/>
        <charset val="0"/>
      </rPr>
      <t>40+204</t>
    </r>
    <r>
      <rPr>
        <sz val="10"/>
        <color rgb="FFFF0000"/>
        <rFont val="宋体"/>
        <charset val="0"/>
      </rPr>
      <t>（左岸）</t>
    </r>
  </si>
  <si>
    <r>
      <rPr>
        <sz val="10"/>
        <color rgb="FFFF0000"/>
        <rFont val="宋体"/>
        <charset val="134"/>
      </rPr>
      <t>m</t>
    </r>
    <r>
      <rPr>
        <vertAlign val="superscript"/>
        <sz val="10"/>
        <color rgb="FFFF0000"/>
        <rFont val="宋体"/>
        <charset val="134"/>
      </rPr>
      <t>3</t>
    </r>
  </si>
  <si>
    <r>
      <rPr>
        <sz val="10"/>
        <color rgb="FFFF0000"/>
        <rFont val="宋体"/>
        <charset val="134"/>
      </rPr>
      <t>土工布（</t>
    </r>
    <r>
      <rPr>
        <sz val="10"/>
        <color rgb="FFFF0000"/>
        <rFont val="Times New Roman"/>
        <charset val="0"/>
      </rPr>
      <t>250g/m</t>
    </r>
    <r>
      <rPr>
        <vertAlign val="superscript"/>
        <sz val="10"/>
        <color rgb="FFFF0000"/>
        <rFont val="Times New Roman"/>
        <charset val="0"/>
      </rPr>
      <t>2</t>
    </r>
    <r>
      <rPr>
        <sz val="10"/>
        <color rgb="FFFF0000"/>
        <rFont val="宋体"/>
        <charset val="134"/>
      </rPr>
      <t>）</t>
    </r>
  </si>
  <si>
    <r>
      <rPr>
        <sz val="10"/>
        <color rgb="FFFF0000"/>
        <rFont val="宋体"/>
        <charset val="134"/>
      </rPr>
      <t>m</t>
    </r>
    <r>
      <rPr>
        <vertAlign val="superscript"/>
        <sz val="10"/>
        <color rgb="FFFF0000"/>
        <rFont val="宋体"/>
        <charset val="134"/>
      </rPr>
      <t>2</t>
    </r>
  </si>
  <si>
    <r>
      <rPr>
        <sz val="10"/>
        <color rgb="FFFF0000"/>
        <rFont val="宋体"/>
        <charset val="134"/>
      </rPr>
      <t>基础格宾石笼（</t>
    </r>
    <r>
      <rPr>
        <sz val="10"/>
        <color rgb="FFFF0000"/>
        <rFont val="Times New Roman"/>
        <charset val="0"/>
      </rPr>
      <t>2*1*1.2</t>
    </r>
    <r>
      <rPr>
        <sz val="10"/>
        <color rgb="FFFF0000"/>
        <rFont val="宋体"/>
        <charset val="134"/>
      </rPr>
      <t>）</t>
    </r>
  </si>
  <si>
    <t>2.5.1</t>
  </si>
  <si>
    <t>2.5.1.1</t>
  </si>
  <si>
    <t>2.5.1.2</t>
  </si>
  <si>
    <t>2.5.2</t>
  </si>
  <si>
    <t>2.5.2.1</t>
  </si>
  <si>
    <t>2.5.2.2</t>
  </si>
  <si>
    <t>2.5.3</t>
  </si>
  <si>
    <t>机电、金属结构设备及安装工程概算表（高庄片区）</t>
  </si>
  <si>
    <t>3#机井泵房 消防</t>
  </si>
  <si>
    <t>MNS-（变频器22KW）</t>
  </si>
  <si>
    <t>单价汇总表</t>
  </si>
  <si>
    <r>
      <rPr>
        <sz val="10"/>
        <rFont val="宋体"/>
        <charset val="134"/>
      </rPr>
      <t>项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目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名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称</t>
    </r>
  </si>
  <si>
    <r>
      <rPr>
        <sz val="10"/>
        <rFont val="宋体"/>
        <charset val="134"/>
      </rPr>
      <t>单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位</t>
    </r>
  </si>
  <si>
    <t>单价（元）</t>
  </si>
  <si>
    <t>人工挖土</t>
  </si>
  <si>
    <r>
      <rPr>
        <sz val="10"/>
        <rFont val="Times New Roman"/>
        <charset val="134"/>
      </rPr>
      <t>100m</t>
    </r>
    <r>
      <rPr>
        <vertAlign val="superscript"/>
        <sz val="10"/>
        <rFont val="Times New Roman"/>
        <charset val="134"/>
      </rPr>
      <t>3</t>
    </r>
  </si>
  <si>
    <t>人工挖地槽（2-4m深）</t>
  </si>
  <si>
    <t>人工挖地槽（2-4m深）Ⅲ类</t>
  </si>
  <si>
    <r>
      <rPr>
        <sz val="10"/>
        <rFont val="宋体"/>
        <charset val="134"/>
      </rPr>
      <t>挖掘机挖土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Ⅰ</t>
    </r>
    <r>
      <rPr>
        <sz val="10"/>
        <rFont val="Times New Roman"/>
        <charset val="134"/>
      </rPr>
      <t>~</t>
    </r>
    <r>
      <rPr>
        <sz val="10"/>
        <rFont val="宋体"/>
        <charset val="134"/>
      </rPr>
      <t>Ⅱ类</t>
    </r>
  </si>
  <si>
    <r>
      <rPr>
        <sz val="10"/>
        <rFont val="宋体"/>
        <charset val="134"/>
      </rPr>
      <t>挖掘机挖土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Ⅲ类</t>
    </r>
  </si>
  <si>
    <t>74kw推土机推土（60m） Ⅰ~Ⅱ类</t>
  </si>
  <si>
    <t>74kw推土机推土（50m） Ⅰ~Ⅱ类</t>
  </si>
  <si>
    <t>74kw推土机推土（60m）  Ⅳ类</t>
  </si>
  <si>
    <t>74kw推土机推土（40m） Ⅰ~Ⅱ类</t>
  </si>
  <si>
    <t>74kw推土机推土（20m） Ⅰ~Ⅱ类</t>
  </si>
  <si>
    <r>
      <rPr>
        <sz val="10"/>
        <rFont val="宋体"/>
        <charset val="134"/>
      </rPr>
      <t>74kw推土机推土（</t>
    </r>
    <r>
      <rPr>
        <sz val="10"/>
        <rFont val="宋体"/>
        <charset val="134"/>
      </rPr>
      <t>3</t>
    </r>
    <r>
      <rPr>
        <sz val="10"/>
        <rFont val="宋体"/>
        <charset val="134"/>
      </rPr>
      <t>0m）Ⅲ类</t>
    </r>
  </si>
  <si>
    <t>平整场地</t>
  </si>
  <si>
    <r>
      <rPr>
        <sz val="10"/>
        <rFont val="Times New Roman"/>
        <charset val="134"/>
      </rPr>
      <t>100m</t>
    </r>
    <r>
      <rPr>
        <vertAlign val="superscript"/>
        <sz val="10"/>
        <rFont val="Times New Roman"/>
        <charset val="134"/>
      </rPr>
      <t>2</t>
    </r>
  </si>
  <si>
    <t>挖掘机挖汽车运（小于0.25km）</t>
  </si>
  <si>
    <r>
      <rPr>
        <sz val="10"/>
        <rFont val="宋体"/>
        <charset val="134"/>
      </rPr>
      <t>挖掘机挖汽车运（0.25</t>
    </r>
    <r>
      <rPr>
        <sz val="10"/>
        <rFont val="宋体"/>
        <charset val="134"/>
      </rPr>
      <t>-0.5</t>
    </r>
    <r>
      <rPr>
        <sz val="10"/>
        <rFont val="宋体"/>
        <charset val="134"/>
      </rPr>
      <t>km）</t>
    </r>
  </si>
  <si>
    <t>挖掘机挖汽车运（0.5-1km）Ⅰ~Ⅱ类</t>
  </si>
  <si>
    <t>挖掘机挖汽车运（1-1.5km）Ⅰ~Ⅱ类</t>
  </si>
  <si>
    <t>挖掘机挖汽车运（1.5-2km）</t>
  </si>
  <si>
    <t>挖掘机挖汽车运（2-3km）</t>
  </si>
  <si>
    <r>
      <rPr>
        <sz val="10"/>
        <rFont val="宋体"/>
        <charset val="134"/>
      </rPr>
      <t>挖掘机挖汽车运（3</t>
    </r>
    <r>
      <rPr>
        <sz val="10"/>
        <rFont val="宋体"/>
        <charset val="134"/>
      </rPr>
      <t>-4</t>
    </r>
    <r>
      <rPr>
        <sz val="10"/>
        <rFont val="宋体"/>
        <charset val="134"/>
      </rPr>
      <t>km）</t>
    </r>
  </si>
  <si>
    <r>
      <rPr>
        <sz val="10"/>
        <rFont val="宋体"/>
        <charset val="134"/>
      </rPr>
      <t>挖掘机挖汽车运（4</t>
    </r>
    <r>
      <rPr>
        <sz val="10"/>
        <rFont val="宋体"/>
        <charset val="134"/>
      </rPr>
      <t>-5</t>
    </r>
    <r>
      <rPr>
        <sz val="10"/>
        <rFont val="宋体"/>
        <charset val="134"/>
      </rPr>
      <t>km）</t>
    </r>
  </si>
  <si>
    <t>挖掘机挖汽车运（4-5km）三类</t>
  </si>
  <si>
    <t>挖掘机挖汽车运（10km）三类</t>
  </si>
  <si>
    <t>挖掘机挖汽车运（30km）三类</t>
  </si>
  <si>
    <t>挖掘机挖汽车运（10km）一、二类</t>
  </si>
  <si>
    <t>挖掘机挖淤泥</t>
  </si>
  <si>
    <t>原土翻夯（1-2m）</t>
  </si>
  <si>
    <t>原土翻夯（3-4m）</t>
  </si>
  <si>
    <t>削坡土方</t>
  </si>
  <si>
    <t>拖拉机压实</t>
  </si>
  <si>
    <t>建筑物填方（机械夯实）</t>
  </si>
  <si>
    <t>石方开挖</t>
  </si>
  <si>
    <t>浆砌石护坡(曲面)</t>
  </si>
  <si>
    <t>浆砌块石平面护坡</t>
  </si>
  <si>
    <t>浆砌块石平面护坡 抗硫</t>
  </si>
  <si>
    <t xml:space="preserve">浆砌石护坡(底) </t>
  </si>
  <si>
    <t>浆砌石护坡(挡土墙)</t>
  </si>
  <si>
    <t>浆砌石护坡(挡土墙) 抗硫</t>
  </si>
  <si>
    <t>浆砌石护坡(基础)</t>
  </si>
  <si>
    <t>浆砌石护坡(基础) 抗硫</t>
  </si>
  <si>
    <t>干茬石地基处理</t>
  </si>
  <si>
    <t>砂砾石垫层（压实）</t>
  </si>
  <si>
    <t>反滤体</t>
  </si>
  <si>
    <t>砖砌体</t>
  </si>
  <si>
    <t>混凝土水平运输</t>
  </si>
  <si>
    <t>混凝土垂直运输</t>
  </si>
  <si>
    <r>
      <rPr>
        <sz val="10"/>
        <rFont val="宋体"/>
        <charset val="134"/>
      </rPr>
      <t>砼排水管DN</t>
    </r>
    <r>
      <rPr>
        <sz val="10"/>
        <rFont val="宋体"/>
        <charset val="134"/>
      </rPr>
      <t>6</t>
    </r>
    <r>
      <rPr>
        <sz val="10"/>
        <rFont val="宋体"/>
        <charset val="134"/>
      </rPr>
      <t>00</t>
    </r>
  </si>
  <si>
    <t>100m</t>
  </si>
  <si>
    <r>
      <rPr>
        <sz val="10"/>
        <rFont val="宋体"/>
        <charset val="134"/>
      </rPr>
      <t>砼排水管DN1</t>
    </r>
    <r>
      <rPr>
        <sz val="10"/>
        <rFont val="宋体"/>
        <charset val="134"/>
      </rPr>
      <t>0</t>
    </r>
    <r>
      <rPr>
        <sz val="10"/>
        <rFont val="宋体"/>
        <charset val="134"/>
      </rPr>
      <t>00</t>
    </r>
  </si>
  <si>
    <t>砼排水管DN1500</t>
  </si>
  <si>
    <r>
      <rPr>
        <sz val="10"/>
        <rFont val="宋体"/>
        <charset val="134"/>
      </rPr>
      <t>砼排水管DN1</t>
    </r>
    <r>
      <rPr>
        <sz val="10"/>
        <rFont val="宋体"/>
        <charset val="134"/>
      </rPr>
      <t>8</t>
    </r>
    <r>
      <rPr>
        <sz val="10"/>
        <rFont val="宋体"/>
        <charset val="134"/>
      </rPr>
      <t>00</t>
    </r>
  </si>
  <si>
    <r>
      <rPr>
        <sz val="10"/>
        <rFont val="宋体"/>
        <charset val="134"/>
      </rPr>
      <t>砼排水管DN</t>
    </r>
    <r>
      <rPr>
        <sz val="10"/>
        <rFont val="宋体"/>
        <charset val="134"/>
      </rPr>
      <t>20</t>
    </r>
    <r>
      <rPr>
        <sz val="10"/>
        <rFont val="宋体"/>
        <charset val="134"/>
      </rPr>
      <t>00</t>
    </r>
  </si>
  <si>
    <r>
      <rPr>
        <sz val="10"/>
        <rFont val="宋体"/>
        <charset val="134"/>
      </rPr>
      <t>DN</t>
    </r>
    <r>
      <rPr>
        <sz val="10"/>
        <rFont val="宋体"/>
        <charset val="134"/>
      </rPr>
      <t>4</t>
    </r>
    <r>
      <rPr>
        <sz val="10"/>
        <rFont val="宋体"/>
        <charset val="134"/>
      </rPr>
      <t>00 PCP管安装费</t>
    </r>
  </si>
  <si>
    <r>
      <rPr>
        <sz val="10"/>
        <rFont val="宋体"/>
        <charset val="134"/>
      </rPr>
      <t>DN</t>
    </r>
    <r>
      <rPr>
        <sz val="10"/>
        <rFont val="宋体"/>
        <charset val="134"/>
      </rPr>
      <t>5</t>
    </r>
    <r>
      <rPr>
        <sz val="10"/>
        <rFont val="宋体"/>
        <charset val="134"/>
      </rPr>
      <t>00</t>
    </r>
    <r>
      <rPr>
        <sz val="10"/>
        <rFont val="宋体"/>
        <charset val="134"/>
      </rPr>
      <t>-600</t>
    </r>
    <r>
      <rPr>
        <sz val="10"/>
        <rFont val="宋体"/>
        <charset val="134"/>
      </rPr>
      <t xml:space="preserve"> PCP管安装费</t>
    </r>
  </si>
  <si>
    <r>
      <rPr>
        <sz val="10"/>
        <rFont val="宋体"/>
        <charset val="134"/>
      </rPr>
      <t>DN800</t>
    </r>
    <r>
      <rPr>
        <sz val="10"/>
        <rFont val="宋体"/>
        <charset val="134"/>
      </rPr>
      <t>PCP管安装费</t>
    </r>
  </si>
  <si>
    <r>
      <rPr>
        <sz val="10"/>
        <rFont val="宋体"/>
        <charset val="134"/>
      </rPr>
      <t>DN</t>
    </r>
    <r>
      <rPr>
        <sz val="10"/>
        <rFont val="宋体"/>
        <charset val="134"/>
      </rPr>
      <t>900-</t>
    </r>
    <r>
      <rPr>
        <sz val="10"/>
        <rFont val="宋体"/>
        <charset val="134"/>
      </rPr>
      <t>1000 PCP管安装费</t>
    </r>
  </si>
  <si>
    <t>砂砾石路面（15cm)</t>
  </si>
  <si>
    <r>
      <rPr>
        <sz val="10"/>
        <rFont val="Times New Roman"/>
        <charset val="134"/>
      </rPr>
      <t>1000m</t>
    </r>
    <r>
      <rPr>
        <vertAlign val="superscript"/>
        <sz val="10"/>
        <rFont val="Times New Roman"/>
        <charset val="134"/>
      </rPr>
      <t>2</t>
    </r>
  </si>
  <si>
    <t>砂砾石路面（20cm)</t>
  </si>
  <si>
    <t>混凝土路面C20（15cm)</t>
  </si>
  <si>
    <t>混凝土路面C20（20cm)</t>
  </si>
  <si>
    <t>沥青砼路面(8cm)</t>
  </si>
  <si>
    <t>泥结石路面 （15cm）</t>
  </si>
  <si>
    <t>651型塑料带止水</t>
  </si>
  <si>
    <t>V型止水</t>
  </si>
  <si>
    <t>沥青水泥砂浆</t>
  </si>
  <si>
    <t>水泥砂浆抹面</t>
  </si>
  <si>
    <t>土工布铺设 250g</t>
  </si>
  <si>
    <r>
      <rPr>
        <sz val="10"/>
        <rFont val="宋体"/>
        <charset val="134"/>
      </rPr>
      <t>复合土工布铺设2</t>
    </r>
    <r>
      <rPr>
        <sz val="10"/>
        <rFont val="宋体"/>
        <charset val="134"/>
      </rPr>
      <t>0</t>
    </r>
    <r>
      <rPr>
        <sz val="10"/>
        <rFont val="宋体"/>
        <charset val="134"/>
      </rPr>
      <t>0g-0.3mm</t>
    </r>
  </si>
  <si>
    <t>复合土工布铺设200g-0.5mm-200g</t>
  </si>
  <si>
    <t>混凝土支墩C20</t>
  </si>
  <si>
    <t>混凝土支墩C25</t>
  </si>
  <si>
    <t>混凝土镇墩C20</t>
  </si>
  <si>
    <t>混凝土镇墩C20 抗硫</t>
  </si>
  <si>
    <t>混凝土镇墩C25</t>
  </si>
  <si>
    <t xml:space="preserve">混凝土镇墩C30 </t>
  </si>
  <si>
    <t>混凝土墙C20</t>
  </si>
  <si>
    <r>
      <rPr>
        <sz val="10"/>
        <rFont val="宋体"/>
        <charset val="134"/>
      </rPr>
      <t>混凝土墙C20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（抗硫）</t>
    </r>
  </si>
  <si>
    <t>混凝土墙C25</t>
  </si>
  <si>
    <t>混凝土墙C25（抗硫）</t>
  </si>
  <si>
    <t>混凝土墙C30</t>
  </si>
  <si>
    <r>
      <rPr>
        <sz val="10"/>
        <rFont val="宋体"/>
        <charset val="134"/>
      </rPr>
      <t>混凝土墙C</t>
    </r>
    <r>
      <rPr>
        <sz val="10"/>
        <rFont val="宋体"/>
        <charset val="134"/>
      </rPr>
      <t>30（抗硫）</t>
    </r>
  </si>
  <si>
    <t>垫层混凝土C20</t>
  </si>
  <si>
    <t xml:space="preserve">垫层混凝土C15 </t>
  </si>
  <si>
    <t>垫层混凝土C20  抗硫</t>
  </si>
  <si>
    <t>闸底板混凝土C15</t>
  </si>
  <si>
    <t xml:space="preserve">闸底板混凝土C20 </t>
  </si>
  <si>
    <r>
      <rPr>
        <sz val="10"/>
        <rFont val="宋体"/>
        <charset val="134"/>
      </rPr>
      <t xml:space="preserve">闸底板混凝土C20 </t>
    </r>
    <r>
      <rPr>
        <sz val="10"/>
        <rFont val="宋体"/>
        <charset val="134"/>
      </rPr>
      <t xml:space="preserve"> 抗硫</t>
    </r>
  </si>
  <si>
    <t xml:space="preserve">闸底板混凝土C25 </t>
  </si>
  <si>
    <t>闸底板混凝土C25 （抗硫）</t>
  </si>
  <si>
    <t>闸底板混凝土C30</t>
  </si>
  <si>
    <t>闸底板混凝土C30（抗硫）</t>
  </si>
  <si>
    <t>闸底板混凝土C40</t>
  </si>
  <si>
    <t xml:space="preserve">二期混凝土C30 </t>
  </si>
  <si>
    <t>C40现浇混凝土铰缝</t>
  </si>
  <si>
    <t>现浇C30混凝土箱涵</t>
  </si>
  <si>
    <t>二期混凝土C25</t>
  </si>
  <si>
    <t>混凝土C20 明渠 底板</t>
  </si>
  <si>
    <t>混凝土C30 明渠 底板 抗硫</t>
  </si>
  <si>
    <t>混凝土C20 明渠 边板</t>
  </si>
  <si>
    <t>混凝土C30 明渠 边板 抗硫</t>
  </si>
  <si>
    <t xml:space="preserve">混凝土帽C25 </t>
  </si>
  <si>
    <t>混凝土帽C20</t>
  </si>
  <si>
    <t>混凝土帽C15</t>
  </si>
  <si>
    <t>混凝土帽C20  抗硫</t>
  </si>
  <si>
    <t>现浇C20混凝土护坡框格</t>
  </si>
  <si>
    <t>现浇C20混凝土明渠 边坡</t>
  </si>
  <si>
    <t>现浇C20混凝土明渠 底板</t>
  </si>
  <si>
    <t>现浇桥板混凝土C20</t>
  </si>
  <si>
    <t>现浇桥板混凝土C25</t>
  </si>
  <si>
    <t>现浇桥板混凝土C30</t>
  </si>
  <si>
    <t>现浇桥板混凝土C30 抗硫</t>
  </si>
  <si>
    <t>现浇盖梁混凝土C30</t>
  </si>
  <si>
    <t>现浇混凝土C30封闭圈中部</t>
  </si>
  <si>
    <t>现浇混凝土C30封闭圈下部</t>
  </si>
  <si>
    <t>现浇混凝土C25封闭圈中部  抗硫</t>
  </si>
  <si>
    <t>现浇混凝土C25封闭圈下部  抗硫</t>
  </si>
  <si>
    <t>预制安装C30混凝土桥板</t>
  </si>
  <si>
    <t>预制安装C25混凝土桥板</t>
  </si>
  <si>
    <r>
      <rPr>
        <sz val="10"/>
        <rFont val="宋体"/>
        <charset val="134"/>
      </rPr>
      <t>预制安装C25混凝土桥板</t>
    </r>
    <r>
      <rPr>
        <sz val="10"/>
        <rFont val="宋体"/>
        <charset val="134"/>
      </rPr>
      <t xml:space="preserve"> 抗硫</t>
    </r>
  </si>
  <si>
    <t>预制安装C20混凝土桥板</t>
  </si>
  <si>
    <t>预制安装C20混凝土空心桥板</t>
  </si>
  <si>
    <t>浆砌石拆除（机械）</t>
  </si>
  <si>
    <t>渠道砼板拆除</t>
  </si>
  <si>
    <t>混凝土拆除（机械）</t>
  </si>
  <si>
    <t>钢筋混凝土拆除（机械）</t>
  </si>
  <si>
    <t>C20混凝土板预制、砌筑、运输（板缝比0.1）</t>
  </si>
  <si>
    <t>C20混凝土弧形预制、砌筑、运输（板缝比0.11）</t>
  </si>
  <si>
    <t>C20混凝土板预制</t>
  </si>
  <si>
    <t>C20混凝土板砌筑</t>
  </si>
  <si>
    <t>C20混凝土板运输</t>
  </si>
  <si>
    <r>
      <rPr>
        <sz val="10"/>
        <rFont val="宋体"/>
        <charset val="134"/>
      </rPr>
      <t>C20</t>
    </r>
    <r>
      <rPr>
        <sz val="10"/>
        <rFont val="宋体"/>
        <charset val="134"/>
      </rPr>
      <t>细石混凝土</t>
    </r>
    <r>
      <rPr>
        <sz val="10"/>
        <rFont val="宋体"/>
        <charset val="134"/>
      </rPr>
      <t xml:space="preserve">  </t>
    </r>
  </si>
  <si>
    <r>
      <rPr>
        <sz val="10"/>
        <rFont val="宋体"/>
        <charset val="134"/>
      </rPr>
      <t>C30</t>
    </r>
    <r>
      <rPr>
        <sz val="10"/>
        <rFont val="宋体"/>
        <charset val="134"/>
      </rPr>
      <t>细石混凝土</t>
    </r>
    <r>
      <rPr>
        <sz val="10"/>
        <rFont val="宋体"/>
        <charset val="134"/>
      </rPr>
      <t xml:space="preserve">   抗硫</t>
    </r>
  </si>
  <si>
    <t>预制安装C20混凝土道牙</t>
  </si>
  <si>
    <t>水泥砂浆垫层M5δ3cm</t>
  </si>
  <si>
    <t>3：7灰土垫层</t>
  </si>
  <si>
    <t>2:8水泥土</t>
  </si>
  <si>
    <t>编织袋围堰</t>
  </si>
  <si>
    <t>渠道细部结构</t>
  </si>
  <si>
    <r>
      <rPr>
        <sz val="10"/>
        <rFont val="Times New Roman"/>
        <charset val="134"/>
      </rPr>
      <t>m</t>
    </r>
    <r>
      <rPr>
        <vertAlign val="superscript"/>
        <sz val="10"/>
        <rFont val="Times New Roman"/>
        <charset val="134"/>
      </rPr>
      <t>3</t>
    </r>
  </si>
  <si>
    <t>建筑物细部结构</t>
  </si>
  <si>
    <t>泵站细部结构</t>
  </si>
  <si>
    <t>坝体细部结构</t>
  </si>
  <si>
    <t>格宾护坡（2*2*0.3）</t>
  </si>
  <si>
    <t>格宾护坡（2*2*0.4）</t>
  </si>
  <si>
    <t>格宾石笼基础（1.5*2*0.5）</t>
  </si>
  <si>
    <t>格宾石笼护脚（2.5*2*0.5）</t>
  </si>
  <si>
    <t>格宾石笼（2*1*1.2）</t>
  </si>
  <si>
    <t>格栅护脚（3.5*2*0.5）</t>
  </si>
  <si>
    <t>格栅护脚（0.5*0.5*2）</t>
  </si>
  <si>
    <t>C30混凝土井柱（抗硫）</t>
  </si>
  <si>
    <t>灌注桩造孔（砂壤土，φ=1.0m）</t>
  </si>
  <si>
    <t>林带——文冠果（规格d：3-4cm，带土球）落叶乔木</t>
  </si>
  <si>
    <t>株</t>
  </si>
  <si>
    <t>林带——山桃（规格d：3-4cm，带土球）落叶乔木</t>
  </si>
  <si>
    <t>林带——山杏（规格d：3-4cm，带土球）落叶乔木</t>
  </si>
  <si>
    <t>林带——杜梨（规格d：3-4cm，带土球）落叶乔木</t>
  </si>
  <si>
    <t>林带——樟子松（规格H:1.7-2.0m，φ＞1.2m，带土球）常青</t>
  </si>
  <si>
    <t>林带——桧柏（规格H:1.51-1.8m，φ＞1.2m，带土球）常青</t>
  </si>
  <si>
    <t>林带——刺槐（规格D：4-5cm，带土球）落叶乔木</t>
  </si>
  <si>
    <t>林带——沙枣（规格D：4-5cm，带土球）落叶乔木</t>
  </si>
  <si>
    <t>林带——旱柳（规格D：4-5cm，带土球）落叶乔木</t>
  </si>
  <si>
    <t>林带——河北杨（规格D：5-6cm，带土球）落叶乔木</t>
  </si>
  <si>
    <t>灌木林带——刺玫（规格9-11分枝，带土球）落叶灌木</t>
  </si>
  <si>
    <t>灌木林带——醉鱼木（规格两年生，营养袋苗）落叶灌木</t>
  </si>
  <si>
    <t>灌木林带——柽柳（规格：一年生苗，带土球）落叶灌木</t>
  </si>
  <si>
    <t>生态枸杞示范田</t>
  </si>
  <si>
    <t>景观草花——蓝亚麻（播种）</t>
  </si>
  <si>
    <t>㎡</t>
  </si>
  <si>
    <t>景观草花——波斯菊（一年生，营养袋苗）</t>
  </si>
  <si>
    <t>景观草花——千屈菜（当年生，营养袋苗）</t>
  </si>
  <si>
    <t>景观草花——柳叶马鞭草（当年生，营养袋苗）</t>
  </si>
  <si>
    <t>景观草花——金娃娃萱草（5芽以上，营养袋苗）</t>
  </si>
  <si>
    <t>水生植物——芦苇（规格：每墩10-15芽，16墩/㎡）</t>
  </si>
  <si>
    <t>水生植物——香蒲（规格：每墩10-15芽，16墩/㎡）</t>
  </si>
  <si>
    <t>栽植带土球乔木 栽植费 胸径  4cm  地径 6cm</t>
  </si>
  <si>
    <t>10株</t>
  </si>
  <si>
    <t>栽植带土球乔木 栽植费 胸径  6cm  地径 8cm</t>
  </si>
  <si>
    <t>栽植单株带土球灌木 栽植费 冠径 80cm</t>
  </si>
  <si>
    <t>栽植单株裸根灌木 栽植费 冠径 60cm</t>
  </si>
  <si>
    <t>栽植露地花卉 栽植费</t>
  </si>
  <si>
    <t>100m2</t>
  </si>
  <si>
    <t>栽植挺水植物 栽植费</t>
  </si>
  <si>
    <r>
      <rPr>
        <sz val="10"/>
        <rFont val="Times New Roman"/>
        <charset val="134"/>
      </rPr>
      <t>10</t>
    </r>
    <r>
      <rPr>
        <sz val="10"/>
        <rFont val="宋体"/>
        <charset val="134"/>
      </rPr>
      <t>丛</t>
    </r>
  </si>
  <si>
    <t>落叶乔木养护 养护二年（18个月）</t>
  </si>
  <si>
    <t>常绿乔木养护 养护三年</t>
  </si>
  <si>
    <t>单株落叶灌木养护  养护三年</t>
  </si>
  <si>
    <t>落地花卉养护</t>
  </si>
  <si>
    <t>m2</t>
  </si>
  <si>
    <t>水生植物养护</t>
  </si>
  <si>
    <t>草籽养护</t>
  </si>
  <si>
    <r>
      <rPr>
        <b/>
        <sz val="14"/>
        <rFont val="Times New Roman"/>
        <charset val="134"/>
      </rPr>
      <t xml:space="preserve">                                    </t>
    </r>
    <r>
      <rPr>
        <b/>
        <sz val="14"/>
        <rFont val="宋体"/>
        <charset val="134"/>
      </rPr>
      <t>单</t>
    </r>
    <r>
      <rPr>
        <b/>
        <sz val="14"/>
        <rFont val="Times New Roman"/>
        <charset val="134"/>
      </rPr>
      <t xml:space="preserve">   </t>
    </r>
    <r>
      <rPr>
        <b/>
        <sz val="14"/>
        <rFont val="宋体"/>
        <charset val="134"/>
      </rPr>
      <t>位</t>
    </r>
    <r>
      <rPr>
        <b/>
        <sz val="14"/>
        <rFont val="Times New Roman"/>
        <charset val="134"/>
      </rPr>
      <t xml:space="preserve">   </t>
    </r>
    <r>
      <rPr>
        <b/>
        <sz val="14"/>
        <rFont val="宋体"/>
        <charset val="134"/>
      </rPr>
      <t>估</t>
    </r>
    <r>
      <rPr>
        <b/>
        <sz val="14"/>
        <rFont val="Times New Roman"/>
        <charset val="134"/>
      </rPr>
      <t xml:space="preserve">   </t>
    </r>
    <r>
      <rPr>
        <b/>
        <sz val="14"/>
        <rFont val="宋体"/>
        <charset val="134"/>
      </rPr>
      <t>价</t>
    </r>
    <r>
      <rPr>
        <b/>
        <sz val="14"/>
        <rFont val="Times New Roman"/>
        <charset val="134"/>
      </rPr>
      <t xml:space="preserve">   </t>
    </r>
    <r>
      <rPr>
        <b/>
        <sz val="14"/>
        <rFont val="宋体"/>
        <charset val="134"/>
      </rPr>
      <t>表</t>
    </r>
  </si>
  <si>
    <t>人工挖倒沟槽土方上口3m深2.5m,Ⅱ类土</t>
  </si>
  <si>
    <t>人工挖一般土,Ⅱ类土</t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</si>
  <si>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:1035</t>
    </r>
  </si>
  <si>
    <r>
      <rPr>
        <sz val="10"/>
        <rFont val="宋体"/>
        <charset val="134"/>
      </rPr>
      <t>定额单位</t>
    </r>
    <r>
      <rPr>
        <sz val="10"/>
        <rFont val="Times New Roman"/>
        <charset val="134"/>
      </rPr>
      <t>:100m</t>
    </r>
    <r>
      <rPr>
        <vertAlign val="superscript"/>
        <sz val="10"/>
        <rFont val="Times New Roman"/>
        <charset val="134"/>
      </rPr>
      <t>3</t>
    </r>
  </si>
  <si>
    <t>定额编号:10017</t>
  </si>
  <si>
    <r>
      <rPr>
        <sz val="10"/>
        <rFont val="宋体"/>
        <charset val="134"/>
      </rPr>
      <t>工作内容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 xml:space="preserve">      </t>
    </r>
  </si>
  <si>
    <t>名称及规格</t>
  </si>
  <si>
    <r>
      <rPr>
        <sz val="10"/>
        <rFont val="宋体"/>
        <charset val="134"/>
      </rPr>
      <t>一</t>
    </r>
    <r>
      <rPr>
        <sz val="10"/>
        <rFont val="Times New Roman"/>
        <charset val="134"/>
      </rPr>
      <t>.</t>
    </r>
  </si>
  <si>
    <t>直接工程费</t>
  </si>
  <si>
    <t>直接费</t>
  </si>
  <si>
    <t>人工</t>
  </si>
  <si>
    <t>工时</t>
  </si>
  <si>
    <t>技工</t>
  </si>
  <si>
    <t>普工</t>
  </si>
  <si>
    <t>机械费</t>
  </si>
  <si>
    <t>零星材料费</t>
  </si>
  <si>
    <t>%</t>
  </si>
  <si>
    <t>其它直接费</t>
  </si>
  <si>
    <t>间接费</t>
  </si>
  <si>
    <t>计划利润</t>
  </si>
  <si>
    <t>税金</t>
  </si>
  <si>
    <t>扩大3%</t>
  </si>
  <si>
    <t>人工挖倒沟槽土方上口2-4m深2-3m,Ⅲ类土</t>
  </si>
  <si>
    <r>
      <rPr>
        <sz val="10"/>
        <rFont val="宋体"/>
        <charset val="134"/>
      </rPr>
      <t>工作内容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 xml:space="preserve">       </t>
    </r>
  </si>
  <si>
    <r>
      <rPr>
        <b/>
        <sz val="10"/>
        <rFont val="Times New Roman"/>
        <charset val="134"/>
      </rPr>
      <t>74kw</t>
    </r>
    <r>
      <rPr>
        <b/>
        <sz val="10"/>
        <rFont val="宋体"/>
        <charset val="134"/>
      </rPr>
      <t>推土机推土（</t>
    </r>
    <r>
      <rPr>
        <b/>
        <sz val="10"/>
        <rFont val="Times New Roman"/>
        <charset val="134"/>
      </rPr>
      <t>20m</t>
    </r>
    <r>
      <rPr>
        <b/>
        <sz val="10"/>
        <rFont val="宋体"/>
        <charset val="134"/>
      </rPr>
      <t>）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工程</t>
    </r>
  </si>
  <si>
    <t>平整场地工程</t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</si>
  <si>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:1130</t>
    </r>
  </si>
  <si>
    <t>定额编号:1275</t>
  </si>
  <si>
    <r>
      <rPr>
        <sz val="10"/>
        <rFont val="宋体"/>
        <charset val="134"/>
      </rPr>
      <t>定额单位</t>
    </r>
    <r>
      <rPr>
        <sz val="10"/>
        <rFont val="Times New Roman"/>
        <charset val="134"/>
      </rPr>
      <t>:100m2</t>
    </r>
  </si>
  <si>
    <r>
      <rPr>
        <sz val="10"/>
        <rFont val="宋体"/>
        <charset val="134"/>
      </rPr>
      <t>工作内容</t>
    </r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Ⅰ－Ⅱ</t>
    </r>
  </si>
  <si>
    <t>机械</t>
  </si>
  <si>
    <t>74kw推土机推土</t>
  </si>
  <si>
    <t>材差</t>
  </si>
  <si>
    <t>柴油(差)</t>
  </si>
  <si>
    <t>kg</t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</si>
  <si>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:1129</t>
    </r>
  </si>
  <si>
    <r>
      <rPr>
        <sz val="10"/>
        <rFont val="宋体"/>
        <charset val="134"/>
      </rPr>
      <t>工作内容</t>
    </r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Ⅲ类</t>
    </r>
  </si>
  <si>
    <r>
      <rPr>
        <b/>
        <sz val="10"/>
        <rFont val="Times New Roman"/>
        <charset val="134"/>
      </rPr>
      <t>74kw</t>
    </r>
    <r>
      <rPr>
        <b/>
        <sz val="10"/>
        <rFont val="宋体"/>
        <charset val="134"/>
      </rPr>
      <t>推土机推土（</t>
    </r>
    <r>
      <rPr>
        <b/>
        <sz val="10"/>
        <rFont val="Times New Roman"/>
        <charset val="134"/>
      </rPr>
      <t>60m</t>
    </r>
    <r>
      <rPr>
        <b/>
        <sz val="10"/>
        <rFont val="宋体"/>
        <charset val="134"/>
      </rPr>
      <t>）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工程</t>
    </r>
  </si>
  <si>
    <r>
      <rPr>
        <b/>
        <sz val="10"/>
        <rFont val="Times New Roman"/>
        <charset val="134"/>
      </rPr>
      <t>74kw</t>
    </r>
    <r>
      <rPr>
        <b/>
        <sz val="10"/>
        <rFont val="宋体"/>
        <charset val="134"/>
      </rPr>
      <t>推土机推土（</t>
    </r>
    <r>
      <rPr>
        <b/>
        <sz val="10"/>
        <rFont val="Times New Roman"/>
        <charset val="134"/>
      </rPr>
      <t>100m</t>
    </r>
    <r>
      <rPr>
        <b/>
        <sz val="10"/>
        <rFont val="宋体"/>
        <charset val="134"/>
      </rPr>
      <t>）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</si>
  <si>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:1133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</si>
  <si>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:1135</t>
    </r>
  </si>
  <si>
    <r>
      <rPr>
        <b/>
        <sz val="10"/>
        <rFont val="Times New Roman"/>
        <charset val="134"/>
      </rPr>
      <t>74kw</t>
    </r>
    <r>
      <rPr>
        <b/>
        <sz val="10"/>
        <rFont val="宋体"/>
        <charset val="134"/>
      </rPr>
      <t>推土机推土（</t>
    </r>
    <r>
      <rPr>
        <b/>
        <sz val="10"/>
        <rFont val="Times New Roman"/>
        <charset val="134"/>
      </rPr>
      <t>40m</t>
    </r>
    <r>
      <rPr>
        <b/>
        <sz val="10"/>
        <rFont val="宋体"/>
        <charset val="134"/>
      </rPr>
      <t>）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工程</t>
    </r>
  </si>
  <si>
    <r>
      <rPr>
        <b/>
        <sz val="10"/>
        <rFont val="Times New Roman"/>
        <charset val="134"/>
      </rPr>
      <t>74kw</t>
    </r>
    <r>
      <rPr>
        <b/>
        <sz val="10"/>
        <rFont val="宋体"/>
        <charset val="134"/>
      </rPr>
      <t>推土机推土（</t>
    </r>
    <r>
      <rPr>
        <b/>
        <sz val="10"/>
        <rFont val="Times New Roman"/>
        <charset val="134"/>
      </rPr>
      <t>50m</t>
    </r>
    <r>
      <rPr>
        <b/>
        <sz val="10"/>
        <rFont val="宋体"/>
        <charset val="134"/>
      </rPr>
      <t>）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</si>
  <si>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:1132</t>
    </r>
  </si>
  <si>
    <r>
      <rPr>
        <b/>
        <sz val="10"/>
        <rFont val="Times New Roman"/>
        <charset val="134"/>
      </rPr>
      <t>74kw</t>
    </r>
    <r>
      <rPr>
        <b/>
        <sz val="10"/>
        <rFont val="宋体"/>
        <charset val="134"/>
      </rPr>
      <t>推土机推土（</t>
    </r>
    <r>
      <rPr>
        <b/>
        <sz val="10"/>
        <rFont val="Times New Roman"/>
        <charset val="134"/>
      </rPr>
      <t>60m</t>
    </r>
    <r>
      <rPr>
        <b/>
        <sz val="10"/>
        <rFont val="宋体"/>
        <charset val="134"/>
      </rPr>
      <t>）Ⅳ类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工程</t>
    </r>
  </si>
  <si>
    <r>
      <rPr>
        <sz val="10"/>
        <rFont val="宋体"/>
        <charset val="134"/>
      </rPr>
      <t>工作内容</t>
    </r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Ⅳ类</t>
    </r>
  </si>
  <si>
    <r>
      <rPr>
        <b/>
        <sz val="10"/>
        <rFont val="Times New Roman"/>
        <charset val="134"/>
      </rPr>
      <t>1m</t>
    </r>
    <r>
      <rPr>
        <b/>
        <vertAlign val="superscript"/>
        <sz val="10"/>
        <rFont val="Times New Roman"/>
        <charset val="134"/>
      </rPr>
      <t>3</t>
    </r>
    <r>
      <rPr>
        <b/>
        <sz val="10"/>
        <rFont val="宋体"/>
        <charset val="134"/>
      </rPr>
      <t>挖掘机挖土ⅠⅡ类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</si>
  <si>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:1144</t>
    </r>
  </si>
  <si>
    <r>
      <rPr>
        <sz val="10"/>
        <rFont val="宋体"/>
        <charset val="134"/>
      </rPr>
      <t>工作内容：</t>
    </r>
    <r>
      <rPr>
        <sz val="10"/>
        <rFont val="Times New Roman"/>
        <charset val="134"/>
      </rPr>
      <t xml:space="preserve">  </t>
    </r>
  </si>
  <si>
    <r>
      <rPr>
        <sz val="10"/>
        <rFont val="宋体"/>
        <charset val="134"/>
      </rPr>
      <t>挖掘机</t>
    </r>
    <r>
      <rPr>
        <sz val="10"/>
        <rFont val="Times New Roman"/>
        <charset val="134"/>
      </rPr>
      <t>1m</t>
    </r>
    <r>
      <rPr>
        <vertAlign val="superscript"/>
        <sz val="10"/>
        <rFont val="Times New Roman"/>
        <charset val="134"/>
      </rPr>
      <t>3</t>
    </r>
    <r>
      <rPr>
        <sz val="10"/>
        <rFont val="宋体"/>
        <charset val="134"/>
      </rPr>
      <t>油动</t>
    </r>
  </si>
  <si>
    <r>
      <rPr>
        <b/>
        <sz val="10"/>
        <rFont val="Times New Roman"/>
        <charset val="134"/>
      </rPr>
      <t>1m</t>
    </r>
    <r>
      <rPr>
        <b/>
        <vertAlign val="superscript"/>
        <sz val="10"/>
        <rFont val="Times New Roman"/>
        <charset val="134"/>
      </rPr>
      <t>3</t>
    </r>
    <r>
      <rPr>
        <b/>
        <sz val="10"/>
        <rFont val="宋体"/>
        <charset val="134"/>
      </rPr>
      <t>挖掘机挖土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Ⅲ类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</si>
  <si>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:1146</t>
    </r>
  </si>
  <si>
    <r>
      <rPr>
        <b/>
        <sz val="14"/>
        <rFont val="Times New Roman"/>
        <charset val="134"/>
      </rPr>
      <t xml:space="preserve">                                                                                                           </t>
    </r>
    <r>
      <rPr>
        <b/>
        <sz val="14"/>
        <rFont val="宋体"/>
        <charset val="134"/>
      </rPr>
      <t>单</t>
    </r>
    <r>
      <rPr>
        <b/>
        <sz val="14"/>
        <rFont val="Times New Roman"/>
        <charset val="134"/>
      </rPr>
      <t xml:space="preserve">   </t>
    </r>
    <r>
      <rPr>
        <b/>
        <sz val="14"/>
        <rFont val="宋体"/>
        <charset val="134"/>
      </rPr>
      <t>位</t>
    </r>
    <r>
      <rPr>
        <b/>
        <sz val="14"/>
        <rFont val="Times New Roman"/>
        <charset val="134"/>
      </rPr>
      <t xml:space="preserve">   </t>
    </r>
    <r>
      <rPr>
        <b/>
        <sz val="14"/>
        <rFont val="宋体"/>
        <charset val="134"/>
      </rPr>
      <t>估</t>
    </r>
    <r>
      <rPr>
        <b/>
        <sz val="14"/>
        <rFont val="Times New Roman"/>
        <charset val="134"/>
      </rPr>
      <t xml:space="preserve">   </t>
    </r>
    <r>
      <rPr>
        <b/>
        <sz val="14"/>
        <rFont val="宋体"/>
        <charset val="134"/>
      </rPr>
      <t>价</t>
    </r>
    <r>
      <rPr>
        <b/>
        <sz val="14"/>
        <rFont val="Times New Roman"/>
        <charset val="134"/>
      </rPr>
      <t xml:space="preserve">   </t>
    </r>
    <r>
      <rPr>
        <b/>
        <sz val="14"/>
        <rFont val="宋体"/>
        <charset val="134"/>
      </rPr>
      <t>表</t>
    </r>
  </si>
  <si>
    <r>
      <rPr>
        <b/>
        <sz val="10"/>
        <rFont val="Times New Roman"/>
        <charset val="134"/>
      </rPr>
      <t xml:space="preserve">                                                           1m3</t>
    </r>
    <r>
      <rPr>
        <b/>
        <sz val="10"/>
        <rFont val="宋体"/>
        <charset val="134"/>
      </rPr>
      <t>挖掘机挖运自卸汽车运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小于</t>
    </r>
    <r>
      <rPr>
        <b/>
        <sz val="10"/>
        <rFont val="Times New Roman"/>
        <charset val="134"/>
      </rPr>
      <t xml:space="preserve">0.25km  </t>
    </r>
    <r>
      <rPr>
        <b/>
        <sz val="10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</si>
  <si>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:1156</t>
    </r>
  </si>
  <si>
    <t>工作内容：ⅠⅡ类土</t>
  </si>
  <si>
    <r>
      <rPr>
        <sz val="10"/>
        <rFont val="宋体"/>
        <charset val="134"/>
      </rPr>
      <t>挖掘机油动</t>
    </r>
    <r>
      <rPr>
        <sz val="10"/>
        <rFont val="Times New Roman"/>
        <charset val="134"/>
      </rPr>
      <t>1m</t>
    </r>
    <r>
      <rPr>
        <vertAlign val="superscript"/>
        <sz val="10"/>
        <rFont val="Times New Roman"/>
        <charset val="134"/>
      </rPr>
      <t>3</t>
    </r>
  </si>
  <si>
    <r>
      <rPr>
        <sz val="10"/>
        <rFont val="宋体"/>
        <charset val="134"/>
      </rPr>
      <t>推土机</t>
    </r>
    <r>
      <rPr>
        <sz val="10"/>
        <rFont val="Times New Roman"/>
        <charset val="134"/>
      </rPr>
      <t>59kw</t>
    </r>
  </si>
  <si>
    <r>
      <rPr>
        <sz val="10"/>
        <rFont val="宋体"/>
        <charset val="134"/>
      </rPr>
      <t>自卸汽车</t>
    </r>
    <r>
      <rPr>
        <sz val="10"/>
        <rFont val="Times New Roman"/>
        <charset val="134"/>
      </rPr>
      <t>8t</t>
    </r>
  </si>
  <si>
    <r>
      <rPr>
        <b/>
        <sz val="10"/>
        <rFont val="Times New Roman"/>
        <charset val="134"/>
      </rPr>
      <t xml:space="preserve">                                                           1m3</t>
    </r>
    <r>
      <rPr>
        <b/>
        <sz val="10"/>
        <rFont val="宋体"/>
        <charset val="134"/>
      </rPr>
      <t>挖掘机挖运自卸汽车运</t>
    </r>
    <r>
      <rPr>
        <b/>
        <sz val="10"/>
        <rFont val="Times New Roman"/>
        <charset val="134"/>
      </rPr>
      <t xml:space="preserve"> 0.25-0.5km  </t>
    </r>
    <r>
      <rPr>
        <b/>
        <sz val="10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</si>
  <si>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:1157</t>
    </r>
  </si>
  <si>
    <r>
      <rPr>
        <b/>
        <sz val="10"/>
        <rFont val="Times New Roman"/>
        <charset val="134"/>
      </rPr>
      <t xml:space="preserve">                                                          1m3 </t>
    </r>
    <r>
      <rPr>
        <b/>
        <sz val="10"/>
        <rFont val="宋体"/>
        <charset val="134"/>
      </rPr>
      <t>挖掘机挖运自卸汽车运</t>
    </r>
    <r>
      <rPr>
        <b/>
        <sz val="10"/>
        <rFont val="Times New Roman"/>
        <charset val="134"/>
      </rPr>
      <t xml:space="preserve">0.5-1km  </t>
    </r>
    <r>
      <rPr>
        <b/>
        <sz val="10"/>
        <rFont val="宋体"/>
        <charset val="134"/>
      </rPr>
      <t>工程</t>
    </r>
  </si>
  <si>
    <r>
      <rPr>
        <b/>
        <sz val="10"/>
        <rFont val="Times New Roman"/>
        <charset val="134"/>
      </rPr>
      <t xml:space="preserve">                                                          1m3 </t>
    </r>
    <r>
      <rPr>
        <b/>
        <sz val="10"/>
        <rFont val="宋体"/>
        <charset val="134"/>
      </rPr>
      <t>挖掘机挖运自卸汽车运</t>
    </r>
    <r>
      <rPr>
        <b/>
        <sz val="10"/>
        <rFont val="Times New Roman"/>
        <charset val="134"/>
      </rPr>
      <t xml:space="preserve">1-1.5km  </t>
    </r>
    <r>
      <rPr>
        <b/>
        <sz val="10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</si>
  <si>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:1158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</si>
  <si>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:1159</t>
    </r>
  </si>
  <si>
    <r>
      <rPr>
        <b/>
        <sz val="10"/>
        <rFont val="Times New Roman"/>
        <charset val="134"/>
      </rPr>
      <t>1m3</t>
    </r>
    <r>
      <rPr>
        <b/>
        <sz val="10"/>
        <rFont val="宋体"/>
        <charset val="134"/>
      </rPr>
      <t>挖掘机挖装</t>
    </r>
    <r>
      <rPr>
        <b/>
        <sz val="10"/>
        <rFont val="Times New Roman"/>
        <charset val="134"/>
      </rPr>
      <t>,</t>
    </r>
    <r>
      <rPr>
        <b/>
        <sz val="10"/>
        <rFont val="宋体"/>
        <charset val="134"/>
      </rPr>
      <t>自卸汽车运输</t>
    </r>
    <r>
      <rPr>
        <b/>
        <sz val="10"/>
        <rFont val="Times New Roman"/>
        <charset val="134"/>
      </rPr>
      <t xml:space="preserve">1.5-2km </t>
    </r>
    <r>
      <rPr>
        <b/>
        <sz val="10"/>
        <rFont val="宋体"/>
        <charset val="134"/>
      </rPr>
      <t>工程</t>
    </r>
  </si>
  <si>
    <r>
      <rPr>
        <b/>
        <sz val="10"/>
        <rFont val="Times New Roman"/>
        <charset val="134"/>
      </rPr>
      <t>1m3</t>
    </r>
    <r>
      <rPr>
        <b/>
        <sz val="10"/>
        <rFont val="宋体"/>
        <charset val="134"/>
      </rPr>
      <t>挖掘机挖装</t>
    </r>
    <r>
      <rPr>
        <b/>
        <sz val="10"/>
        <rFont val="Times New Roman"/>
        <charset val="134"/>
      </rPr>
      <t>,</t>
    </r>
    <r>
      <rPr>
        <b/>
        <sz val="10"/>
        <rFont val="宋体"/>
        <charset val="134"/>
      </rPr>
      <t>自卸汽车运输</t>
    </r>
    <r>
      <rPr>
        <b/>
        <sz val="10"/>
        <rFont val="Times New Roman"/>
        <charset val="134"/>
      </rPr>
      <t xml:space="preserve">2-3km </t>
    </r>
    <r>
      <rPr>
        <b/>
        <sz val="10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</si>
  <si>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:1160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</si>
  <si>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:1161</t>
    </r>
  </si>
  <si>
    <r>
      <rPr>
        <sz val="10"/>
        <rFont val="宋体"/>
        <charset val="134"/>
      </rPr>
      <t>工作内容：运距</t>
    </r>
    <r>
      <rPr>
        <sz val="10"/>
        <rFont val="Times New Roman"/>
        <charset val="134"/>
      </rPr>
      <t>1.5-2km</t>
    </r>
  </si>
  <si>
    <r>
      <rPr>
        <b/>
        <sz val="10"/>
        <rFont val="Times New Roman"/>
        <charset val="134"/>
      </rPr>
      <t xml:space="preserve">                                                          1m3 </t>
    </r>
    <r>
      <rPr>
        <b/>
        <sz val="10"/>
        <rFont val="宋体"/>
        <charset val="134"/>
      </rPr>
      <t>挖掘机挖运自卸汽车运</t>
    </r>
    <r>
      <rPr>
        <b/>
        <sz val="10"/>
        <rFont val="Times New Roman"/>
        <charset val="134"/>
      </rPr>
      <t xml:space="preserve">3-4km  </t>
    </r>
    <r>
      <rPr>
        <b/>
        <sz val="10"/>
        <rFont val="宋体"/>
        <charset val="134"/>
      </rPr>
      <t>工程</t>
    </r>
  </si>
  <si>
    <r>
      <rPr>
        <b/>
        <sz val="10"/>
        <rFont val="Times New Roman"/>
        <charset val="134"/>
      </rPr>
      <t>1m3</t>
    </r>
    <r>
      <rPr>
        <b/>
        <sz val="10"/>
        <rFont val="宋体"/>
        <charset val="134"/>
      </rPr>
      <t>挖掘机挖装</t>
    </r>
    <r>
      <rPr>
        <b/>
        <sz val="10"/>
        <rFont val="Times New Roman"/>
        <charset val="134"/>
      </rPr>
      <t>,</t>
    </r>
    <r>
      <rPr>
        <b/>
        <sz val="10"/>
        <rFont val="宋体"/>
        <charset val="134"/>
      </rPr>
      <t>自卸汽车运输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</si>
  <si>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:1162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</si>
  <si>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:1163</t>
    </r>
  </si>
  <si>
    <r>
      <rPr>
        <sz val="10"/>
        <rFont val="宋体"/>
        <charset val="134"/>
      </rPr>
      <t>工作内容：运距10</t>
    </r>
    <r>
      <rPr>
        <sz val="10"/>
        <rFont val="Times New Roman"/>
        <charset val="134"/>
      </rPr>
      <t xml:space="preserve">km </t>
    </r>
    <r>
      <rPr>
        <sz val="10"/>
        <rFont val="宋体"/>
        <charset val="134"/>
      </rPr>
      <t>三类</t>
    </r>
  </si>
  <si>
    <r>
      <rPr>
        <sz val="10"/>
        <rFont val="宋体"/>
        <charset val="134"/>
      </rPr>
      <t>工作内容：运距10</t>
    </r>
    <r>
      <rPr>
        <sz val="10"/>
        <rFont val="Times New Roman"/>
        <charset val="134"/>
      </rPr>
      <t xml:space="preserve">km </t>
    </r>
    <r>
      <rPr>
        <sz val="10"/>
        <rFont val="宋体"/>
        <charset val="134"/>
      </rPr>
      <t>一、二类</t>
    </r>
  </si>
  <si>
    <r>
      <rPr>
        <sz val="10"/>
        <rFont val="宋体"/>
        <charset val="134"/>
      </rPr>
      <t>工作内容：运距4-5</t>
    </r>
    <r>
      <rPr>
        <sz val="10"/>
        <rFont val="Times New Roman"/>
        <charset val="134"/>
      </rPr>
      <t>km</t>
    </r>
  </si>
  <si>
    <r>
      <rPr>
        <sz val="10"/>
        <rFont val="宋体"/>
        <charset val="134"/>
      </rPr>
      <t>工作内容：运距4-5</t>
    </r>
    <r>
      <rPr>
        <sz val="10"/>
        <rFont val="Times New Roman"/>
        <charset val="134"/>
      </rPr>
      <t xml:space="preserve">km </t>
    </r>
    <r>
      <rPr>
        <sz val="10"/>
        <rFont val="宋体"/>
        <charset val="134"/>
      </rPr>
      <t>三类</t>
    </r>
  </si>
  <si>
    <r>
      <rPr>
        <sz val="10"/>
        <rFont val="宋体"/>
        <charset val="134"/>
      </rPr>
      <t>工作内容：运距</t>
    </r>
    <r>
      <rPr>
        <sz val="10"/>
        <rFont val="Times New Roman"/>
        <charset val="134"/>
      </rPr>
      <t>5-6km</t>
    </r>
  </si>
  <si>
    <r>
      <rPr>
        <sz val="10"/>
        <rFont val="宋体"/>
        <charset val="134"/>
      </rPr>
      <t>工作内容：运距7-8</t>
    </r>
    <r>
      <rPr>
        <sz val="10"/>
        <rFont val="Times New Roman"/>
        <charset val="134"/>
      </rPr>
      <t>km</t>
    </r>
  </si>
  <si>
    <r>
      <rPr>
        <b/>
        <sz val="10"/>
        <rFont val="宋体"/>
        <charset val="134"/>
      </rPr>
      <t>拖拉机压实土方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</si>
  <si>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:1225</t>
    </r>
  </si>
  <si>
    <t>工作内容</t>
  </si>
  <si>
    <t>材料</t>
  </si>
  <si>
    <t>水</t>
  </si>
  <si>
    <t>拖拉机74kw</t>
  </si>
  <si>
    <t>推土机74kw</t>
  </si>
  <si>
    <r>
      <rPr>
        <sz val="10"/>
        <rFont val="宋体"/>
        <charset val="134"/>
      </rPr>
      <t>蛙式打夯机</t>
    </r>
    <r>
      <rPr>
        <sz val="10"/>
        <rFont val="Times New Roman"/>
        <charset val="134"/>
      </rPr>
      <t>2.8kw</t>
    </r>
  </si>
  <si>
    <t>刨毛机</t>
  </si>
  <si>
    <t>其它机械费</t>
  </si>
  <si>
    <r>
      <rPr>
        <b/>
        <sz val="10"/>
        <rFont val="宋体"/>
        <charset val="134"/>
      </rPr>
      <t>拖拉机压实砂砾石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</si>
  <si>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:1229</t>
    </r>
  </si>
  <si>
    <r>
      <rPr>
        <sz val="10"/>
        <color theme="1"/>
        <rFont val="宋体"/>
        <charset val="134"/>
      </rPr>
      <t>m</t>
    </r>
    <r>
      <rPr>
        <vertAlign val="superscript"/>
        <sz val="10"/>
        <color indexed="8"/>
        <rFont val="宋体"/>
        <charset val="134"/>
      </rPr>
      <t>3</t>
    </r>
  </si>
  <si>
    <r>
      <rPr>
        <b/>
        <sz val="10"/>
        <rFont val="宋体"/>
        <charset val="134"/>
      </rPr>
      <t>建筑物土方回填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</si>
  <si>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:1238</t>
    </r>
  </si>
  <si>
    <t>工作内容:机械夯实</t>
  </si>
  <si>
    <t>蛙式打夯机</t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</si>
  <si>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:9019</t>
    </r>
  </si>
  <si>
    <t>挖掘机 液压 1m3</t>
  </si>
  <si>
    <t>柴油</t>
  </si>
  <si>
    <r>
      <rPr>
        <b/>
        <sz val="10"/>
        <rFont val="宋体"/>
        <charset val="134"/>
      </rPr>
      <t>机械翻夯土（</t>
    </r>
    <r>
      <rPr>
        <b/>
        <sz val="10"/>
        <rFont val="Times New Roman"/>
        <charset val="134"/>
      </rPr>
      <t>1-2m</t>
    </r>
    <r>
      <rPr>
        <b/>
        <sz val="10"/>
        <rFont val="宋体"/>
        <charset val="134"/>
      </rPr>
      <t>）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</si>
  <si>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:1246</t>
    </r>
  </si>
  <si>
    <r>
      <rPr>
        <sz val="10"/>
        <rFont val="宋体"/>
        <charset val="134"/>
      </rPr>
      <t>挖掘机</t>
    </r>
    <r>
      <rPr>
        <sz val="10"/>
        <rFont val="Times New Roman"/>
        <charset val="134"/>
      </rPr>
      <t>1m3</t>
    </r>
  </si>
  <si>
    <t>74kw拖拉机</t>
  </si>
  <si>
    <r>
      <rPr>
        <b/>
        <sz val="10"/>
        <rFont val="宋体"/>
        <charset val="134"/>
      </rPr>
      <t>削坡土方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</si>
  <si>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:1262</t>
    </r>
  </si>
  <si>
    <t>工作内容:填方边坡</t>
  </si>
  <si>
    <r>
      <rPr>
        <b/>
        <sz val="10"/>
        <rFont val="宋体"/>
        <charset val="134"/>
      </rPr>
      <t>机械翻夯土（</t>
    </r>
    <r>
      <rPr>
        <b/>
        <sz val="10"/>
        <rFont val="Times New Roman"/>
        <charset val="134"/>
      </rPr>
      <t>3-4m</t>
    </r>
    <r>
      <rPr>
        <b/>
        <sz val="10"/>
        <rFont val="宋体"/>
        <charset val="134"/>
      </rPr>
      <t>）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</si>
  <si>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:1248</t>
    </r>
  </si>
  <si>
    <t>自卸汽车5T</t>
  </si>
  <si>
    <r>
      <rPr>
        <b/>
        <sz val="10"/>
        <rFont val="宋体"/>
        <charset val="134"/>
      </rPr>
      <t>基础机械强夯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</si>
  <si>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:1250</t>
    </r>
  </si>
  <si>
    <r>
      <rPr>
        <sz val="10"/>
        <rFont val="宋体"/>
        <charset val="134"/>
      </rPr>
      <t>定额单位</t>
    </r>
    <r>
      <rPr>
        <sz val="10"/>
        <rFont val="Times New Roman"/>
        <charset val="134"/>
      </rPr>
      <t>:100m</t>
    </r>
    <r>
      <rPr>
        <vertAlign val="superscript"/>
        <sz val="10"/>
        <rFont val="Times New Roman"/>
        <charset val="134"/>
      </rPr>
      <t>2</t>
    </r>
  </si>
  <si>
    <t>强夯机200tm</t>
  </si>
  <si>
    <r>
      <rPr>
        <b/>
        <sz val="14"/>
        <rFont val="Times New Roman"/>
        <charset val="134"/>
      </rPr>
      <t xml:space="preserve">                                         </t>
    </r>
    <r>
      <rPr>
        <b/>
        <sz val="14"/>
        <rFont val="宋体"/>
        <charset val="134"/>
      </rPr>
      <t>单</t>
    </r>
    <r>
      <rPr>
        <b/>
        <sz val="14"/>
        <rFont val="Times New Roman"/>
        <charset val="134"/>
      </rPr>
      <t xml:space="preserve">   </t>
    </r>
    <r>
      <rPr>
        <b/>
        <sz val="14"/>
        <rFont val="宋体"/>
        <charset val="134"/>
      </rPr>
      <t>位</t>
    </r>
    <r>
      <rPr>
        <b/>
        <sz val="14"/>
        <rFont val="Times New Roman"/>
        <charset val="134"/>
      </rPr>
      <t xml:space="preserve">   </t>
    </r>
    <r>
      <rPr>
        <b/>
        <sz val="14"/>
        <rFont val="宋体"/>
        <charset val="134"/>
      </rPr>
      <t>估</t>
    </r>
    <r>
      <rPr>
        <b/>
        <sz val="14"/>
        <rFont val="Times New Roman"/>
        <charset val="134"/>
      </rPr>
      <t xml:space="preserve">   </t>
    </r>
    <r>
      <rPr>
        <b/>
        <sz val="14"/>
        <rFont val="宋体"/>
        <charset val="134"/>
      </rPr>
      <t>价</t>
    </r>
    <r>
      <rPr>
        <b/>
        <sz val="14"/>
        <rFont val="Times New Roman"/>
        <charset val="134"/>
      </rPr>
      <t xml:space="preserve">   </t>
    </r>
    <r>
      <rPr>
        <b/>
        <sz val="14"/>
        <rFont val="宋体"/>
        <charset val="134"/>
      </rPr>
      <t>表</t>
    </r>
  </si>
  <si>
    <t>石方开挖 工程</t>
  </si>
  <si>
    <t>定额编号:2009</t>
  </si>
  <si>
    <r>
      <rPr>
        <sz val="10"/>
        <rFont val="宋体"/>
        <charset val="134"/>
      </rPr>
      <t>定额单位:100m</t>
    </r>
    <r>
      <rPr>
        <vertAlign val="superscript"/>
        <sz val="10"/>
        <rFont val="宋体"/>
        <charset val="134"/>
      </rPr>
      <t>3</t>
    </r>
  </si>
  <si>
    <t>工作内容:</t>
  </si>
  <si>
    <t>合金钻头</t>
  </si>
  <si>
    <t>炸药</t>
  </si>
  <si>
    <t>雷管</t>
  </si>
  <si>
    <t>导火线</t>
  </si>
  <si>
    <t>其它材料费</t>
  </si>
  <si>
    <t>风钻 手持式</t>
  </si>
  <si>
    <t xml:space="preserve"> 扩大3%</t>
  </si>
  <si>
    <r>
      <rPr>
        <b/>
        <sz val="10"/>
        <rFont val="宋体"/>
        <charset val="134"/>
      </rPr>
      <t>反滤体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工程</t>
    </r>
  </si>
  <si>
    <r>
      <rPr>
        <b/>
        <sz val="10"/>
        <rFont val="宋体"/>
        <charset val="134"/>
      </rPr>
      <t>反滤体  陶粒、火山岩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工程</t>
    </r>
  </si>
  <si>
    <r>
      <rPr>
        <b/>
        <sz val="10"/>
        <rFont val="宋体"/>
        <charset val="134"/>
      </rPr>
      <t>砂砾石垫层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</si>
  <si>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:3006</t>
    </r>
  </si>
  <si>
    <t>工作内容：</t>
  </si>
  <si>
    <t>碎石</t>
  </si>
  <si>
    <t>砂子</t>
  </si>
  <si>
    <t>生物陶粒</t>
  </si>
  <si>
    <t>火山岩</t>
  </si>
  <si>
    <r>
      <rPr>
        <b/>
        <sz val="10"/>
        <rFont val="宋体"/>
        <charset val="134"/>
      </rPr>
      <t>干茬石地基处理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</si>
  <si>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:9014</t>
    </r>
  </si>
  <si>
    <t>块石</t>
  </si>
  <si>
    <t>胶轮车</t>
  </si>
  <si>
    <r>
      <rPr>
        <b/>
        <sz val="10"/>
        <rFont val="宋体"/>
        <charset val="134"/>
      </rPr>
      <t>干砌石护坡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工程</t>
    </r>
  </si>
  <si>
    <r>
      <rPr>
        <b/>
        <sz val="10"/>
        <rFont val="宋体"/>
        <charset val="134"/>
      </rPr>
      <t>卵石护坡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</si>
  <si>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:3009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</si>
  <si>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:3007</t>
    </r>
  </si>
  <si>
    <t>卵石</t>
  </si>
  <si>
    <t>砖砌体工程</t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</si>
  <si>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:3070</t>
    </r>
  </si>
  <si>
    <t>砖</t>
  </si>
  <si>
    <t>千块</t>
  </si>
  <si>
    <t>砂浆</t>
  </si>
  <si>
    <t>砂浆搅拌机0.4m3</t>
  </si>
  <si>
    <t>水泥</t>
  </si>
  <si>
    <r>
      <rPr>
        <b/>
        <sz val="10"/>
        <rFont val="宋体"/>
        <charset val="134"/>
      </rPr>
      <t>浆砌块石平面护坡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工程</t>
    </r>
  </si>
  <si>
    <r>
      <rPr>
        <b/>
        <sz val="10"/>
        <rFont val="宋体"/>
        <charset val="134"/>
      </rPr>
      <t>浆砌块石平面护坡 抗硫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</si>
  <si>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:3017</t>
    </r>
  </si>
  <si>
    <t>抗硫水泥</t>
  </si>
  <si>
    <r>
      <rPr>
        <b/>
        <sz val="10"/>
        <rFont val="宋体"/>
        <charset val="134"/>
      </rPr>
      <t>浆砌块石曲面护坡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</si>
  <si>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:3018</t>
    </r>
  </si>
  <si>
    <r>
      <rPr>
        <b/>
        <sz val="10"/>
        <rFont val="宋体"/>
        <charset val="134"/>
      </rPr>
      <t>浆砌块石护底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</si>
  <si>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:3019</t>
    </r>
  </si>
  <si>
    <r>
      <rPr>
        <b/>
        <sz val="10"/>
        <rFont val="宋体"/>
        <charset val="134"/>
      </rPr>
      <t>浆砌块石基础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工程</t>
    </r>
  </si>
  <si>
    <r>
      <rPr>
        <b/>
        <sz val="10"/>
        <rFont val="宋体"/>
        <charset val="134"/>
      </rPr>
      <t>浆砌块石基础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抗硫工程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</si>
  <si>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:3020</t>
    </r>
  </si>
  <si>
    <r>
      <rPr>
        <b/>
        <sz val="10"/>
        <rFont val="宋体"/>
        <charset val="134"/>
      </rPr>
      <t>浆砌块石挡土墙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工程</t>
    </r>
  </si>
  <si>
    <r>
      <rPr>
        <b/>
        <sz val="10"/>
        <rFont val="宋体"/>
        <charset val="134"/>
      </rPr>
      <t>浆砌块石挡土墙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抗硫工程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</si>
  <si>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:3021</t>
    </r>
  </si>
  <si>
    <t xml:space="preserve">                                                                                                             挡土墙混凝土C20(斜墙)   工程</t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</si>
  <si>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:4056</t>
    </r>
  </si>
  <si>
    <t>锯材</t>
  </si>
  <si>
    <t>组合钢模</t>
  </si>
  <si>
    <t>型钢</t>
  </si>
  <si>
    <t>卡扣件</t>
  </si>
  <si>
    <t>铁件</t>
  </si>
  <si>
    <t>预埋铁件</t>
  </si>
  <si>
    <t>电焊条</t>
  </si>
  <si>
    <r>
      <rPr>
        <sz val="10"/>
        <rFont val="宋体"/>
        <charset val="134"/>
      </rPr>
      <t>混凝土</t>
    </r>
    <r>
      <rPr>
        <sz val="10"/>
        <rFont val="Times New Roman"/>
        <charset val="134"/>
      </rPr>
      <t>C20</t>
    </r>
  </si>
  <si>
    <t>其他材料费</t>
  </si>
  <si>
    <t>载重汽车    5t</t>
  </si>
  <si>
    <r>
      <rPr>
        <sz val="10"/>
        <rFont val="宋体"/>
        <charset val="134"/>
      </rPr>
      <t>汽车起重机</t>
    </r>
    <r>
      <rPr>
        <sz val="10"/>
        <rFont val="Times New Roman"/>
        <charset val="134"/>
      </rPr>
      <t>5t</t>
    </r>
  </si>
  <si>
    <t xml:space="preserve">电焊机  25KVA </t>
  </si>
  <si>
    <t xml:space="preserve">搅拌机  0.4m3 </t>
  </si>
  <si>
    <t>振捣器  插入式1.1KW</t>
  </si>
  <si>
    <t>混凝土运输</t>
  </si>
  <si>
    <t>材料差(材料)</t>
  </si>
  <si>
    <t>石子</t>
  </si>
  <si>
    <t>材料差(机械)</t>
  </si>
  <si>
    <t>汽油(差)</t>
  </si>
  <si>
    <t xml:space="preserve">                                                                                                             挡土墙混凝土C25(斜墙)   工程</t>
  </si>
  <si>
    <r>
      <rPr>
        <sz val="10"/>
        <rFont val="宋体"/>
        <charset val="134"/>
      </rPr>
      <t>混凝土</t>
    </r>
    <r>
      <rPr>
        <sz val="10"/>
        <rFont val="Times New Roman"/>
        <charset val="134"/>
      </rPr>
      <t>C25</t>
    </r>
  </si>
  <si>
    <t xml:space="preserve">                                                   混凝土墙C20   工程</t>
  </si>
  <si>
    <r>
      <rPr>
        <b/>
        <sz val="12"/>
        <rFont val="Times New Roman"/>
        <charset val="134"/>
      </rPr>
      <t xml:space="preserve">                                                   </t>
    </r>
    <r>
      <rPr>
        <b/>
        <sz val="12"/>
        <rFont val="宋体"/>
        <charset val="134"/>
      </rPr>
      <t>混凝土墙</t>
    </r>
    <r>
      <rPr>
        <b/>
        <sz val="12"/>
        <rFont val="Times New Roman"/>
        <charset val="134"/>
      </rPr>
      <t xml:space="preserve">C20  </t>
    </r>
    <r>
      <rPr>
        <b/>
        <sz val="12"/>
        <rFont val="宋体"/>
        <charset val="134"/>
      </rPr>
      <t>抗硫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</si>
  <si>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:4060</t>
    </r>
  </si>
  <si>
    <t>工作内容：墙厚0.4-0.6m</t>
  </si>
  <si>
    <t>振捣器  平板1.1KW</t>
  </si>
  <si>
    <r>
      <rPr>
        <b/>
        <sz val="12"/>
        <rFont val="Times New Roman"/>
        <charset val="134"/>
      </rPr>
      <t xml:space="preserve">                                                   </t>
    </r>
    <r>
      <rPr>
        <b/>
        <sz val="12"/>
        <rFont val="宋体"/>
        <charset val="134"/>
      </rPr>
      <t>混凝土墙</t>
    </r>
    <r>
      <rPr>
        <b/>
        <sz val="12"/>
        <rFont val="Times New Roman"/>
        <charset val="134"/>
      </rPr>
      <t xml:space="preserve">C25   </t>
    </r>
    <r>
      <rPr>
        <b/>
        <sz val="12"/>
        <rFont val="宋体"/>
        <charset val="134"/>
      </rPr>
      <t>工程</t>
    </r>
  </si>
  <si>
    <r>
      <rPr>
        <b/>
        <sz val="12"/>
        <rFont val="Times New Roman"/>
        <charset val="134"/>
      </rPr>
      <t xml:space="preserve">                                                   </t>
    </r>
    <r>
      <rPr>
        <b/>
        <sz val="12"/>
        <rFont val="宋体"/>
        <charset val="134"/>
      </rPr>
      <t>混凝土墙</t>
    </r>
    <r>
      <rPr>
        <b/>
        <sz val="12"/>
        <rFont val="Times New Roman"/>
        <charset val="134"/>
      </rPr>
      <t xml:space="preserve">C25 </t>
    </r>
    <r>
      <rPr>
        <b/>
        <sz val="12"/>
        <rFont val="宋体"/>
        <charset val="134"/>
      </rPr>
      <t>抗硫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</si>
  <si>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r>
      <rPr>
        <b/>
        <sz val="12"/>
        <rFont val="Times New Roman"/>
        <charset val="134"/>
      </rPr>
      <t xml:space="preserve">                                                   </t>
    </r>
    <r>
      <rPr>
        <b/>
        <sz val="12"/>
        <rFont val="宋体"/>
        <charset val="134"/>
      </rPr>
      <t>混凝土墙</t>
    </r>
    <r>
      <rPr>
        <b/>
        <sz val="12"/>
        <rFont val="Times New Roman"/>
        <charset val="134"/>
      </rPr>
      <t xml:space="preserve">C30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</si>
  <si>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混凝土</t>
    </r>
    <r>
      <rPr>
        <sz val="10"/>
        <rFont val="Times New Roman"/>
        <charset val="134"/>
      </rPr>
      <t>C30</t>
    </r>
  </si>
  <si>
    <r>
      <rPr>
        <b/>
        <sz val="12"/>
        <rFont val="Times New Roman"/>
        <charset val="134"/>
      </rPr>
      <t xml:space="preserve">                                                   </t>
    </r>
    <r>
      <rPr>
        <b/>
        <sz val="12"/>
        <rFont val="宋体"/>
        <charset val="134"/>
      </rPr>
      <t>混凝土墙</t>
    </r>
    <r>
      <rPr>
        <b/>
        <sz val="12"/>
        <rFont val="Times New Roman"/>
        <charset val="134"/>
      </rPr>
      <t xml:space="preserve">C30 </t>
    </r>
    <r>
      <rPr>
        <b/>
        <sz val="12"/>
        <rFont val="宋体"/>
        <charset val="134"/>
      </rPr>
      <t>抗硫</t>
    </r>
    <r>
      <rPr>
        <b/>
        <sz val="12"/>
        <rFont val="Times New Roman"/>
        <charset val="134"/>
      </rPr>
      <t xml:space="preserve">   </t>
    </r>
    <r>
      <rPr>
        <b/>
        <sz val="12"/>
        <rFont val="宋体"/>
        <charset val="134"/>
      </rPr>
      <t>工程</t>
    </r>
  </si>
  <si>
    <r>
      <rPr>
        <b/>
        <sz val="12"/>
        <rFont val="Times New Roman"/>
        <charset val="134"/>
      </rPr>
      <t xml:space="preserve">                                                  </t>
    </r>
    <r>
      <rPr>
        <b/>
        <sz val="12"/>
        <rFont val="宋体"/>
        <charset val="134"/>
      </rPr>
      <t>混凝土</t>
    </r>
    <r>
      <rPr>
        <b/>
        <sz val="12"/>
        <rFont val="Times New Roman"/>
        <charset val="134"/>
      </rPr>
      <t xml:space="preserve">C20 </t>
    </r>
    <r>
      <rPr>
        <b/>
        <sz val="12"/>
        <rFont val="宋体"/>
        <charset val="134"/>
      </rPr>
      <t>支墩  工程</t>
    </r>
  </si>
  <si>
    <r>
      <rPr>
        <b/>
        <sz val="12"/>
        <rFont val="Times New Roman"/>
        <charset val="134"/>
      </rPr>
      <t xml:space="preserve">                                                  </t>
    </r>
    <r>
      <rPr>
        <b/>
        <sz val="12"/>
        <rFont val="宋体"/>
        <charset val="134"/>
      </rPr>
      <t>混凝土</t>
    </r>
    <r>
      <rPr>
        <b/>
        <sz val="12"/>
        <rFont val="Times New Roman"/>
        <charset val="134"/>
      </rPr>
      <t xml:space="preserve">C25 </t>
    </r>
    <r>
      <rPr>
        <b/>
        <sz val="12"/>
        <rFont val="宋体"/>
        <charset val="134"/>
      </rPr>
      <t>支墩  工程</t>
    </r>
  </si>
  <si>
    <r>
      <rPr>
        <b/>
        <sz val="12"/>
        <rFont val="Times New Roman"/>
        <charset val="134"/>
      </rPr>
      <t xml:space="preserve">                                                  </t>
    </r>
    <r>
      <rPr>
        <b/>
        <sz val="12"/>
        <rFont val="宋体"/>
        <charset val="134"/>
      </rPr>
      <t>混凝土</t>
    </r>
    <r>
      <rPr>
        <b/>
        <sz val="12"/>
        <rFont val="Times New Roman"/>
        <charset val="134"/>
      </rPr>
      <t xml:space="preserve">C30 </t>
    </r>
    <r>
      <rPr>
        <b/>
        <sz val="12"/>
        <rFont val="宋体"/>
        <charset val="134"/>
      </rPr>
      <t>支墩抗硫  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</si>
  <si>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:4052</t>
    </r>
  </si>
  <si>
    <r>
      <rPr>
        <b/>
        <sz val="12"/>
        <rFont val="Times New Roman"/>
        <charset val="134"/>
      </rPr>
      <t xml:space="preserve">                                                  </t>
    </r>
    <r>
      <rPr>
        <b/>
        <sz val="12"/>
        <rFont val="宋体"/>
        <charset val="134"/>
      </rPr>
      <t>混凝土</t>
    </r>
    <r>
      <rPr>
        <b/>
        <sz val="12"/>
        <rFont val="Times New Roman"/>
        <charset val="134"/>
      </rPr>
      <t xml:space="preserve">C20 </t>
    </r>
    <r>
      <rPr>
        <b/>
        <sz val="12"/>
        <rFont val="宋体"/>
        <charset val="134"/>
      </rPr>
      <t>镇墩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</si>
  <si>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:4051</t>
    </r>
  </si>
  <si>
    <r>
      <rPr>
        <b/>
        <sz val="12"/>
        <rFont val="Times New Roman"/>
        <charset val="134"/>
      </rPr>
      <t xml:space="preserve">                                                  </t>
    </r>
    <r>
      <rPr>
        <b/>
        <sz val="12"/>
        <rFont val="宋体"/>
        <charset val="134"/>
      </rPr>
      <t>混凝土</t>
    </r>
    <r>
      <rPr>
        <b/>
        <sz val="12"/>
        <rFont val="Times New Roman"/>
        <charset val="134"/>
      </rPr>
      <t xml:space="preserve">C20 </t>
    </r>
    <r>
      <rPr>
        <b/>
        <sz val="12"/>
        <rFont val="宋体"/>
        <charset val="134"/>
      </rPr>
      <t>镇墩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抗硫工程</t>
    </r>
  </si>
  <si>
    <r>
      <rPr>
        <b/>
        <sz val="12"/>
        <rFont val="Times New Roman"/>
        <charset val="134"/>
      </rPr>
      <t xml:space="preserve">                                                  </t>
    </r>
    <r>
      <rPr>
        <b/>
        <sz val="12"/>
        <rFont val="宋体"/>
        <charset val="134"/>
      </rPr>
      <t>混凝土</t>
    </r>
    <r>
      <rPr>
        <b/>
        <sz val="12"/>
        <rFont val="Times New Roman"/>
        <charset val="134"/>
      </rPr>
      <t xml:space="preserve">C30 </t>
    </r>
    <r>
      <rPr>
        <b/>
        <sz val="12"/>
        <rFont val="宋体"/>
        <charset val="134"/>
      </rPr>
      <t>闸墩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</si>
  <si>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汽车起重机5</t>
    </r>
    <r>
      <rPr>
        <sz val="10"/>
        <rFont val="宋体"/>
        <charset val="134"/>
      </rPr>
      <t>t</t>
    </r>
  </si>
  <si>
    <r>
      <rPr>
        <sz val="10"/>
        <rFont val="宋体"/>
        <charset val="134"/>
      </rPr>
      <t>塔式起重机1</t>
    </r>
    <r>
      <rPr>
        <sz val="10"/>
        <rFont val="宋体"/>
        <charset val="134"/>
      </rPr>
      <t>0t</t>
    </r>
  </si>
  <si>
    <r>
      <rPr>
        <b/>
        <sz val="12"/>
        <rFont val="Times New Roman"/>
        <charset val="134"/>
      </rPr>
      <t xml:space="preserve">                                                  </t>
    </r>
    <r>
      <rPr>
        <b/>
        <sz val="12"/>
        <rFont val="宋体"/>
        <charset val="134"/>
      </rPr>
      <t>混凝土</t>
    </r>
    <r>
      <rPr>
        <b/>
        <sz val="12"/>
        <rFont val="Times New Roman"/>
        <charset val="134"/>
      </rPr>
      <t xml:space="preserve">C25 </t>
    </r>
    <r>
      <rPr>
        <b/>
        <sz val="12"/>
        <rFont val="宋体"/>
        <charset val="134"/>
      </rPr>
      <t>镇墩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工程</t>
    </r>
  </si>
  <si>
    <r>
      <rPr>
        <b/>
        <sz val="12"/>
        <rFont val="Times New Roman"/>
        <charset val="134"/>
      </rPr>
      <t xml:space="preserve">                                                  </t>
    </r>
    <r>
      <rPr>
        <b/>
        <sz val="12"/>
        <rFont val="宋体"/>
        <charset val="134"/>
      </rPr>
      <t>混凝土</t>
    </r>
    <r>
      <rPr>
        <b/>
        <sz val="12"/>
        <rFont val="Times New Roman"/>
        <charset val="134"/>
      </rPr>
      <t xml:space="preserve">C30 </t>
    </r>
    <r>
      <rPr>
        <b/>
        <sz val="12"/>
        <rFont val="宋体"/>
        <charset val="134"/>
      </rPr>
      <t>镇墩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</si>
  <si>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t>混凝土C30</t>
  </si>
  <si>
    <r>
      <rPr>
        <b/>
        <sz val="12"/>
        <rFont val="Times New Roman"/>
        <charset val="134"/>
      </rPr>
      <t xml:space="preserve">                                                   </t>
    </r>
    <r>
      <rPr>
        <b/>
        <sz val="12"/>
        <rFont val="宋体"/>
        <charset val="134"/>
      </rPr>
      <t>垫层混凝土</t>
    </r>
    <r>
      <rPr>
        <b/>
        <sz val="12"/>
        <rFont val="Times New Roman"/>
        <charset val="134"/>
      </rPr>
      <t xml:space="preserve">C20 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</si>
  <si>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:4067</t>
    </r>
  </si>
  <si>
    <r>
      <rPr>
        <b/>
        <sz val="12"/>
        <rFont val="Times New Roman"/>
        <charset val="134"/>
      </rPr>
      <t xml:space="preserve">                                                   </t>
    </r>
    <r>
      <rPr>
        <b/>
        <sz val="12"/>
        <rFont val="宋体"/>
        <charset val="134"/>
      </rPr>
      <t>垫层混凝土</t>
    </r>
    <r>
      <rPr>
        <b/>
        <sz val="12"/>
        <rFont val="Times New Roman"/>
        <charset val="134"/>
      </rPr>
      <t xml:space="preserve">C15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</si>
  <si>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混凝土</t>
    </r>
    <r>
      <rPr>
        <sz val="10"/>
        <rFont val="Times New Roman"/>
        <charset val="134"/>
      </rPr>
      <t>C15</t>
    </r>
  </si>
  <si>
    <r>
      <rPr>
        <b/>
        <sz val="12"/>
        <rFont val="Times New Roman"/>
        <charset val="134"/>
      </rPr>
      <t xml:space="preserve">                                                   </t>
    </r>
    <r>
      <rPr>
        <b/>
        <sz val="12"/>
        <rFont val="宋体"/>
        <charset val="134"/>
      </rPr>
      <t>垫层混凝土</t>
    </r>
    <r>
      <rPr>
        <b/>
        <sz val="12"/>
        <rFont val="Times New Roman"/>
        <charset val="134"/>
      </rPr>
      <t xml:space="preserve">C20 </t>
    </r>
    <r>
      <rPr>
        <b/>
        <sz val="12"/>
        <rFont val="宋体"/>
        <charset val="134"/>
      </rPr>
      <t>抗硫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</si>
  <si>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t xml:space="preserve">                                                                                                       闸底板混凝土C15   工程</t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</si>
  <si>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:4070</t>
    </r>
  </si>
  <si>
    <r>
      <rPr>
        <sz val="10"/>
        <rFont val="宋体"/>
        <charset val="134"/>
      </rPr>
      <t>工作内容</t>
    </r>
    <r>
      <rPr>
        <sz val="10"/>
        <rFont val="Times New Roman"/>
        <charset val="134"/>
      </rPr>
      <t>:0.3~0.6</t>
    </r>
  </si>
  <si>
    <t xml:space="preserve">搅拌机  0.4m3  </t>
  </si>
  <si>
    <t xml:space="preserve">                                                   闸底板混凝土C20  工程</t>
  </si>
  <si>
    <r>
      <rPr>
        <b/>
        <sz val="12"/>
        <rFont val="Times New Roman"/>
        <charset val="134"/>
      </rPr>
      <t xml:space="preserve">                                                   </t>
    </r>
    <r>
      <rPr>
        <b/>
        <sz val="12"/>
        <rFont val="宋体"/>
        <charset val="134"/>
      </rPr>
      <t>闸底板混凝土</t>
    </r>
    <r>
      <rPr>
        <b/>
        <sz val="12"/>
        <rFont val="Times New Roman"/>
        <charset val="134"/>
      </rPr>
      <t xml:space="preserve">C20 </t>
    </r>
    <r>
      <rPr>
        <b/>
        <sz val="12"/>
        <rFont val="宋体"/>
        <charset val="134"/>
      </rPr>
      <t>抗硫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</si>
  <si>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t xml:space="preserve">                                                   闸底板混凝土C25 工程</t>
  </si>
  <si>
    <r>
      <rPr>
        <b/>
        <sz val="12"/>
        <rFont val="Times New Roman"/>
        <charset val="134"/>
      </rPr>
      <t xml:space="preserve">                                                   </t>
    </r>
    <r>
      <rPr>
        <b/>
        <sz val="12"/>
        <rFont val="宋体"/>
        <charset val="134"/>
      </rPr>
      <t>闸底板混凝土</t>
    </r>
    <r>
      <rPr>
        <b/>
        <sz val="12"/>
        <rFont val="Times New Roman"/>
        <charset val="134"/>
      </rPr>
      <t xml:space="preserve">C25 </t>
    </r>
    <r>
      <rPr>
        <b/>
        <sz val="12"/>
        <rFont val="宋体"/>
        <charset val="134"/>
      </rPr>
      <t>抗硫工程</t>
    </r>
  </si>
  <si>
    <r>
      <rPr>
        <b/>
        <sz val="12"/>
        <rFont val="Times New Roman"/>
        <charset val="134"/>
      </rPr>
      <t xml:space="preserve">                                                   </t>
    </r>
    <r>
      <rPr>
        <b/>
        <sz val="12"/>
        <rFont val="宋体"/>
        <charset val="134"/>
      </rPr>
      <t>闸底板混凝土</t>
    </r>
    <r>
      <rPr>
        <b/>
        <sz val="12"/>
        <rFont val="Times New Roman"/>
        <charset val="134"/>
      </rPr>
      <t xml:space="preserve">C30 </t>
    </r>
    <r>
      <rPr>
        <b/>
        <sz val="12"/>
        <rFont val="宋体"/>
        <charset val="134"/>
      </rPr>
      <t>工程</t>
    </r>
  </si>
  <si>
    <r>
      <rPr>
        <b/>
        <sz val="12"/>
        <rFont val="Times New Roman"/>
        <charset val="134"/>
      </rPr>
      <t xml:space="preserve">                                                   </t>
    </r>
    <r>
      <rPr>
        <b/>
        <sz val="12"/>
        <rFont val="宋体"/>
        <charset val="134"/>
      </rPr>
      <t>闸底板混凝土</t>
    </r>
    <r>
      <rPr>
        <b/>
        <sz val="12"/>
        <rFont val="Times New Roman"/>
        <charset val="134"/>
      </rPr>
      <t>C30</t>
    </r>
    <r>
      <rPr>
        <b/>
        <sz val="12"/>
        <rFont val="宋体"/>
        <charset val="134"/>
      </rPr>
      <t>抗硫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工程</t>
    </r>
  </si>
  <si>
    <r>
      <rPr>
        <b/>
        <sz val="12"/>
        <rFont val="Times New Roman"/>
        <charset val="134"/>
      </rPr>
      <t xml:space="preserve">                                                   </t>
    </r>
    <r>
      <rPr>
        <b/>
        <sz val="12"/>
        <rFont val="宋体"/>
        <charset val="134"/>
      </rPr>
      <t>闸底板混凝土</t>
    </r>
    <r>
      <rPr>
        <b/>
        <sz val="12"/>
        <rFont val="Times New Roman"/>
        <charset val="134"/>
      </rPr>
      <t>C40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</si>
  <si>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混凝土</t>
    </r>
    <r>
      <rPr>
        <sz val="10"/>
        <rFont val="Times New Roman"/>
        <charset val="134"/>
      </rPr>
      <t>C40</t>
    </r>
  </si>
  <si>
    <r>
      <rPr>
        <b/>
        <sz val="12"/>
        <rFont val="Times New Roman"/>
        <charset val="134"/>
      </rPr>
      <t xml:space="preserve">                                                  </t>
    </r>
    <r>
      <rPr>
        <b/>
        <sz val="12"/>
        <rFont val="宋体"/>
        <charset val="134"/>
      </rPr>
      <t>二期混凝土</t>
    </r>
    <r>
      <rPr>
        <b/>
        <sz val="12"/>
        <rFont val="Times New Roman"/>
        <charset val="134"/>
      </rPr>
      <t>C30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</si>
  <si>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:4083</t>
    </r>
  </si>
  <si>
    <t>载重汽车5t</t>
  </si>
  <si>
    <t>汽车起重机 5t</t>
  </si>
  <si>
    <t>塔式起重机 10t</t>
  </si>
  <si>
    <r>
      <rPr>
        <b/>
        <sz val="12"/>
        <rFont val="Times New Roman"/>
        <charset val="134"/>
      </rPr>
      <t xml:space="preserve">                                                  </t>
    </r>
    <r>
      <rPr>
        <b/>
        <sz val="12"/>
        <rFont val="宋体"/>
        <charset val="134"/>
      </rPr>
      <t>混凝土</t>
    </r>
    <r>
      <rPr>
        <b/>
        <sz val="12"/>
        <rFont val="Times New Roman"/>
        <charset val="134"/>
      </rPr>
      <t>C40</t>
    </r>
    <r>
      <rPr>
        <b/>
        <sz val="12"/>
        <rFont val="宋体"/>
        <charset val="134"/>
      </rPr>
      <t>填缝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</si>
  <si>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:4082</t>
    </r>
  </si>
  <si>
    <r>
      <rPr>
        <b/>
        <sz val="12"/>
        <rFont val="Times New Roman"/>
        <charset val="134"/>
      </rPr>
      <t xml:space="preserve">                                                    </t>
    </r>
    <r>
      <rPr>
        <b/>
        <sz val="12"/>
        <rFont val="宋体"/>
        <charset val="134"/>
      </rPr>
      <t>现浇桥板混凝土</t>
    </r>
    <r>
      <rPr>
        <b/>
        <sz val="12"/>
        <rFont val="Times New Roman"/>
        <charset val="134"/>
      </rPr>
      <t xml:space="preserve">C25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</si>
  <si>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:4094</t>
    </r>
  </si>
  <si>
    <t>组合钢模板</t>
  </si>
  <si>
    <t>混凝土C25</t>
  </si>
  <si>
    <t>振捣器  平板2.2KW</t>
  </si>
  <si>
    <t>电焊机 交流25KVA</t>
  </si>
  <si>
    <t xml:space="preserve">                                                    现浇桥板混凝土C20  工程</t>
  </si>
  <si>
    <r>
      <rPr>
        <b/>
        <sz val="12"/>
        <rFont val="Times New Roman"/>
        <charset val="134"/>
      </rPr>
      <t xml:space="preserve">                                                        </t>
    </r>
    <r>
      <rPr>
        <b/>
        <sz val="12"/>
        <rFont val="宋体"/>
        <charset val="134"/>
      </rPr>
      <t>现浇混凝土</t>
    </r>
    <r>
      <rPr>
        <b/>
        <sz val="12"/>
        <rFont val="Times New Roman"/>
        <charset val="134"/>
      </rPr>
      <t>C30</t>
    </r>
    <r>
      <rPr>
        <b/>
        <sz val="12"/>
        <rFont val="宋体"/>
        <charset val="134"/>
      </rPr>
      <t>板工程</t>
    </r>
  </si>
  <si>
    <r>
      <rPr>
        <b/>
        <sz val="12"/>
        <rFont val="Times New Roman"/>
        <charset val="134"/>
      </rPr>
      <t xml:space="preserve">                                                        </t>
    </r>
    <r>
      <rPr>
        <b/>
        <sz val="12"/>
        <rFont val="宋体"/>
        <charset val="134"/>
      </rPr>
      <t>现浇混凝土</t>
    </r>
    <r>
      <rPr>
        <b/>
        <sz val="12"/>
        <rFont val="Times New Roman"/>
        <charset val="134"/>
      </rPr>
      <t>C30</t>
    </r>
    <r>
      <rPr>
        <b/>
        <sz val="12"/>
        <rFont val="宋体"/>
        <charset val="134"/>
      </rPr>
      <t>板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抗硫工程</t>
    </r>
  </si>
  <si>
    <r>
      <rPr>
        <b/>
        <sz val="12"/>
        <rFont val="Times New Roman"/>
        <charset val="134"/>
      </rPr>
      <t xml:space="preserve">                                                        </t>
    </r>
    <r>
      <rPr>
        <b/>
        <sz val="12"/>
        <rFont val="宋体"/>
        <charset val="134"/>
      </rPr>
      <t>现浇混凝土</t>
    </r>
    <r>
      <rPr>
        <b/>
        <sz val="12"/>
        <rFont val="Times New Roman"/>
        <charset val="134"/>
      </rPr>
      <t>C30</t>
    </r>
    <r>
      <rPr>
        <b/>
        <sz val="12"/>
        <rFont val="宋体"/>
        <charset val="134"/>
      </rPr>
      <t>盖梁工程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</si>
  <si>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:4100</t>
    </r>
  </si>
  <si>
    <t>汽车起重机5t</t>
  </si>
  <si>
    <t xml:space="preserve">                                                        混凝土帽C15  工程</t>
  </si>
  <si>
    <r>
      <rPr>
        <b/>
        <sz val="12"/>
        <rFont val="Times New Roman"/>
        <charset val="134"/>
      </rPr>
      <t xml:space="preserve">                                                        </t>
    </r>
    <r>
      <rPr>
        <b/>
        <sz val="12"/>
        <rFont val="宋体"/>
        <charset val="134"/>
      </rPr>
      <t>混凝土帽</t>
    </r>
    <r>
      <rPr>
        <b/>
        <sz val="12"/>
        <rFont val="Times New Roman"/>
        <charset val="134"/>
      </rPr>
      <t xml:space="preserve">C20 </t>
    </r>
    <r>
      <rPr>
        <b/>
        <sz val="12"/>
        <rFont val="宋体"/>
        <charset val="134"/>
      </rPr>
      <t>抗硫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</si>
  <si>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:4124</t>
    </r>
  </si>
  <si>
    <r>
      <rPr>
        <sz val="10"/>
        <rFont val="宋体"/>
        <charset val="134"/>
      </rPr>
      <t>搅拌机  0.4m</t>
    </r>
    <r>
      <rPr>
        <vertAlign val="superscript"/>
        <sz val="10"/>
        <rFont val="宋体"/>
        <charset val="134"/>
      </rPr>
      <t>3</t>
    </r>
  </si>
  <si>
    <t>电焊机   25KVA</t>
  </si>
  <si>
    <t xml:space="preserve">                                                        混凝土帽C20  工程</t>
  </si>
  <si>
    <t xml:space="preserve">                                                        混凝土帽C25  工程</t>
  </si>
  <si>
    <r>
      <rPr>
        <b/>
        <sz val="12"/>
        <rFont val="Times New Roman"/>
        <charset val="134"/>
      </rPr>
      <t xml:space="preserve">                                                        </t>
    </r>
    <r>
      <rPr>
        <b/>
        <sz val="12"/>
        <rFont val="宋体"/>
        <charset val="134"/>
      </rPr>
      <t>混凝土护坡框格</t>
    </r>
    <r>
      <rPr>
        <b/>
        <sz val="12"/>
        <rFont val="Times New Roman"/>
        <charset val="134"/>
      </rPr>
      <t xml:space="preserve">C20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</si>
  <si>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:4134</t>
    </r>
  </si>
  <si>
    <r>
      <rPr>
        <b/>
        <sz val="12"/>
        <rFont val="Times New Roman"/>
        <charset val="134"/>
      </rPr>
      <t xml:space="preserve">                                                        </t>
    </r>
    <r>
      <rPr>
        <b/>
        <sz val="12"/>
        <rFont val="宋体"/>
        <charset val="134"/>
      </rPr>
      <t>混凝土</t>
    </r>
    <r>
      <rPr>
        <b/>
        <sz val="12"/>
        <rFont val="Times New Roman"/>
        <charset val="134"/>
      </rPr>
      <t xml:space="preserve">C20 </t>
    </r>
    <r>
      <rPr>
        <b/>
        <sz val="12"/>
        <rFont val="宋体"/>
        <charset val="134"/>
      </rPr>
      <t>明渠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底板工程</t>
    </r>
  </si>
  <si>
    <r>
      <rPr>
        <b/>
        <sz val="12"/>
        <rFont val="Times New Roman"/>
        <charset val="134"/>
      </rPr>
      <t xml:space="preserve">                                                        </t>
    </r>
    <r>
      <rPr>
        <b/>
        <sz val="12"/>
        <rFont val="宋体"/>
        <charset val="134"/>
      </rPr>
      <t>混凝土</t>
    </r>
    <r>
      <rPr>
        <b/>
        <sz val="12"/>
        <rFont val="Times New Roman"/>
        <charset val="134"/>
      </rPr>
      <t xml:space="preserve">C30 </t>
    </r>
    <r>
      <rPr>
        <b/>
        <sz val="12"/>
        <rFont val="宋体"/>
        <charset val="134"/>
      </rPr>
      <t>明渠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底板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抗硫工程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</si>
  <si>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:4072</t>
    </r>
  </si>
  <si>
    <t>汽车起重机  5t</t>
  </si>
  <si>
    <r>
      <rPr>
        <b/>
        <sz val="12"/>
        <rFont val="Times New Roman"/>
        <charset val="134"/>
      </rPr>
      <t xml:space="preserve">                                                        </t>
    </r>
    <r>
      <rPr>
        <b/>
        <sz val="12"/>
        <rFont val="宋体"/>
        <charset val="134"/>
      </rPr>
      <t>混凝土</t>
    </r>
    <r>
      <rPr>
        <b/>
        <sz val="12"/>
        <rFont val="Times New Roman"/>
        <charset val="134"/>
      </rPr>
      <t>C20</t>
    </r>
    <r>
      <rPr>
        <b/>
        <sz val="12"/>
        <rFont val="宋体"/>
        <charset val="134"/>
      </rPr>
      <t>明渠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边坡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</si>
  <si>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r>
      <rPr>
        <b/>
        <sz val="12"/>
        <rFont val="Times New Roman"/>
        <charset val="134"/>
      </rPr>
      <t xml:space="preserve">                                                        </t>
    </r>
    <r>
      <rPr>
        <b/>
        <sz val="12"/>
        <rFont val="宋体"/>
        <charset val="134"/>
      </rPr>
      <t>混凝土</t>
    </r>
    <r>
      <rPr>
        <b/>
        <sz val="12"/>
        <rFont val="Times New Roman"/>
        <charset val="134"/>
      </rPr>
      <t>C30</t>
    </r>
    <r>
      <rPr>
        <b/>
        <sz val="12"/>
        <rFont val="宋体"/>
        <charset val="134"/>
      </rPr>
      <t>明渠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边坡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抗硫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</si>
  <si>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:4075</t>
    </r>
  </si>
  <si>
    <r>
      <rPr>
        <b/>
        <sz val="12"/>
        <rFont val="Times New Roman"/>
        <charset val="134"/>
      </rPr>
      <t xml:space="preserve">                                                        C30</t>
    </r>
    <r>
      <rPr>
        <b/>
        <sz val="12"/>
        <rFont val="宋体"/>
        <charset val="134"/>
      </rPr>
      <t>混凝土封闭圈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（中部）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</si>
  <si>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:4043</t>
    </r>
  </si>
  <si>
    <t>商混</t>
  </si>
  <si>
    <t>风水枪</t>
  </si>
  <si>
    <t>现场经费</t>
  </si>
  <si>
    <t>木材(差)</t>
  </si>
  <si>
    <t>C30商混</t>
  </si>
  <si>
    <r>
      <rPr>
        <b/>
        <sz val="12"/>
        <rFont val="Times New Roman"/>
        <charset val="134"/>
      </rPr>
      <t xml:space="preserve">                                                        C30</t>
    </r>
    <r>
      <rPr>
        <b/>
        <sz val="12"/>
        <rFont val="宋体"/>
        <charset val="134"/>
      </rPr>
      <t>混凝土封闭圈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（下部）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工程</t>
    </r>
  </si>
  <si>
    <r>
      <rPr>
        <b/>
        <sz val="12"/>
        <rFont val="Times New Roman"/>
        <charset val="134"/>
      </rPr>
      <t xml:space="preserve">                                                        C25</t>
    </r>
    <r>
      <rPr>
        <b/>
        <sz val="12"/>
        <rFont val="宋体"/>
        <charset val="134"/>
      </rPr>
      <t>混凝土封闭圈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（中部）抗硫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工程</t>
    </r>
  </si>
  <si>
    <r>
      <rPr>
        <b/>
        <sz val="12"/>
        <rFont val="Times New Roman"/>
        <charset val="134"/>
      </rPr>
      <t xml:space="preserve">                                                        C25</t>
    </r>
    <r>
      <rPr>
        <b/>
        <sz val="12"/>
        <rFont val="宋体"/>
        <charset val="134"/>
      </rPr>
      <t>混凝土封闭圈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（下部）抗硫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</si>
  <si>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混凝土</t>
    </r>
    <r>
      <rPr>
        <sz val="10"/>
        <rFont val="Times New Roman"/>
        <charset val="134"/>
      </rPr>
      <t>C3025</t>
    </r>
  </si>
  <si>
    <r>
      <rPr>
        <b/>
        <sz val="12"/>
        <rFont val="宋体"/>
        <charset val="134"/>
      </rPr>
      <t>胶轮车运混凝土</t>
    </r>
    <r>
      <rPr>
        <b/>
        <sz val="10"/>
        <rFont val="宋体"/>
        <charset val="134"/>
      </rPr>
      <t>(50m)</t>
    </r>
  </si>
  <si>
    <t>定额编号:4228</t>
  </si>
  <si>
    <t>一.</t>
  </si>
  <si>
    <t>二.</t>
  </si>
  <si>
    <t>三.</t>
  </si>
  <si>
    <r>
      <rPr>
        <b/>
        <sz val="12"/>
        <rFont val="宋体"/>
        <charset val="134"/>
      </rPr>
      <t>塔式起重机吊运混凝土(</t>
    </r>
    <r>
      <rPr>
        <b/>
        <sz val="10"/>
        <rFont val="宋体"/>
        <charset val="134"/>
      </rPr>
      <t>吊高≤10m</t>
    </r>
    <r>
      <rPr>
        <b/>
        <sz val="12"/>
        <rFont val="宋体"/>
        <charset val="134"/>
      </rPr>
      <t>)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</si>
  <si>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:4258</t>
    </r>
  </si>
  <si>
    <r>
      <rPr>
        <sz val="10"/>
        <rFont val="宋体"/>
        <charset val="134"/>
      </rPr>
      <t>二</t>
    </r>
    <r>
      <rPr>
        <sz val="10"/>
        <rFont val="Times New Roman"/>
        <charset val="134"/>
      </rPr>
      <t>.</t>
    </r>
  </si>
  <si>
    <r>
      <rPr>
        <sz val="10"/>
        <rFont val="宋体"/>
        <charset val="134"/>
      </rPr>
      <t>三</t>
    </r>
    <r>
      <rPr>
        <sz val="10"/>
        <rFont val="Times New Roman"/>
        <charset val="134"/>
      </rPr>
      <t>.</t>
    </r>
  </si>
  <si>
    <t>塔式起重机  6t</t>
  </si>
  <si>
    <r>
      <rPr>
        <sz val="10"/>
        <rFont val="宋体"/>
        <charset val="134"/>
      </rPr>
      <t>混凝土吊罐  0.65m</t>
    </r>
    <r>
      <rPr>
        <vertAlign val="superscript"/>
        <sz val="10"/>
        <rFont val="宋体"/>
        <charset val="134"/>
      </rPr>
      <t>3</t>
    </r>
  </si>
  <si>
    <r>
      <rPr>
        <b/>
        <sz val="12"/>
        <rFont val="宋体"/>
        <charset val="134"/>
      </rPr>
      <t>预制混凝土板</t>
    </r>
    <r>
      <rPr>
        <b/>
        <sz val="12"/>
        <rFont val="Times New Roman"/>
        <charset val="134"/>
      </rPr>
      <t xml:space="preserve"> C30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</si>
  <si>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:4163</t>
    </r>
  </si>
  <si>
    <t>铁钉</t>
  </si>
  <si>
    <r>
      <rPr>
        <sz val="10"/>
        <rFont val="宋体"/>
        <charset val="134"/>
      </rPr>
      <t>搅拌机   0.4m</t>
    </r>
    <r>
      <rPr>
        <vertAlign val="superscript"/>
        <sz val="10"/>
        <rFont val="宋体"/>
        <charset val="134"/>
      </rPr>
      <t>3</t>
    </r>
  </si>
  <si>
    <t xml:space="preserve">塔式起重机  10t  </t>
  </si>
  <si>
    <t>小计</t>
  </si>
  <si>
    <r>
      <rPr>
        <b/>
        <sz val="12"/>
        <rFont val="宋体"/>
        <charset val="134"/>
      </rPr>
      <t>安装混凝土板</t>
    </r>
    <r>
      <rPr>
        <b/>
        <sz val="12"/>
        <rFont val="Times New Roman"/>
        <charset val="134"/>
      </rPr>
      <t xml:space="preserve"> C30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</si>
  <si>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:4190</t>
    </r>
  </si>
  <si>
    <t>原木</t>
  </si>
  <si>
    <t>预制混凝土构件</t>
  </si>
  <si>
    <t xml:space="preserve">汽车起重机   5t  </t>
  </si>
  <si>
    <r>
      <rPr>
        <b/>
        <sz val="12"/>
        <rFont val="宋体"/>
        <charset val="134"/>
      </rPr>
      <t>预制混凝土板</t>
    </r>
    <r>
      <rPr>
        <b/>
        <sz val="12"/>
        <rFont val="Times New Roman"/>
        <charset val="134"/>
      </rPr>
      <t xml:space="preserve"> C25 </t>
    </r>
    <r>
      <rPr>
        <b/>
        <sz val="12"/>
        <rFont val="宋体"/>
        <charset val="134"/>
      </rPr>
      <t>工程</t>
    </r>
  </si>
  <si>
    <r>
      <rPr>
        <b/>
        <sz val="12"/>
        <rFont val="宋体"/>
        <charset val="134"/>
      </rPr>
      <t>安装混凝土板</t>
    </r>
    <r>
      <rPr>
        <b/>
        <sz val="12"/>
        <rFont val="Times New Roman"/>
        <charset val="134"/>
      </rPr>
      <t xml:space="preserve"> C25 </t>
    </r>
    <r>
      <rPr>
        <b/>
        <sz val="12"/>
        <rFont val="宋体"/>
        <charset val="134"/>
      </rPr>
      <t>工程</t>
    </r>
  </si>
  <si>
    <r>
      <rPr>
        <b/>
        <sz val="12"/>
        <rFont val="宋体"/>
        <charset val="134"/>
      </rPr>
      <t>安装混凝土板</t>
    </r>
    <r>
      <rPr>
        <b/>
        <sz val="12"/>
        <rFont val="Times New Roman"/>
        <charset val="134"/>
      </rPr>
      <t xml:space="preserve"> C25  </t>
    </r>
    <r>
      <rPr>
        <b/>
        <sz val="12"/>
        <rFont val="宋体"/>
        <charset val="134"/>
      </rPr>
      <t>抗硫</t>
    </r>
    <r>
      <rPr>
        <b/>
        <sz val="12"/>
        <rFont val="宋体"/>
        <charset val="134"/>
      </rPr>
      <t>工程</t>
    </r>
  </si>
  <si>
    <r>
      <rPr>
        <b/>
        <sz val="12"/>
        <rFont val="宋体"/>
        <charset val="134"/>
      </rPr>
      <t>预制混凝土平板</t>
    </r>
    <r>
      <rPr>
        <b/>
        <sz val="12"/>
        <rFont val="Times New Roman"/>
        <charset val="134"/>
      </rPr>
      <t xml:space="preserve"> C20 </t>
    </r>
    <r>
      <rPr>
        <b/>
        <sz val="12"/>
        <rFont val="宋体"/>
        <charset val="134"/>
      </rPr>
      <t>工程</t>
    </r>
  </si>
  <si>
    <r>
      <rPr>
        <b/>
        <sz val="12"/>
        <rFont val="宋体"/>
        <charset val="134"/>
      </rPr>
      <t>安装混凝土板</t>
    </r>
    <r>
      <rPr>
        <b/>
        <sz val="12"/>
        <rFont val="Times New Roman"/>
        <charset val="134"/>
      </rPr>
      <t xml:space="preserve"> C20 </t>
    </r>
    <r>
      <rPr>
        <b/>
        <sz val="12"/>
        <rFont val="宋体"/>
        <charset val="134"/>
      </rPr>
      <t>工程</t>
    </r>
  </si>
  <si>
    <r>
      <rPr>
        <b/>
        <sz val="12"/>
        <rFont val="宋体"/>
        <charset val="134"/>
      </rPr>
      <t>预制混凝土空心板</t>
    </r>
    <r>
      <rPr>
        <b/>
        <sz val="12"/>
        <rFont val="Times New Roman"/>
        <charset val="134"/>
      </rPr>
      <t xml:space="preserve"> C40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</si>
  <si>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:4161</t>
    </r>
  </si>
  <si>
    <r>
      <rPr>
        <b/>
        <sz val="12"/>
        <rFont val="宋体"/>
        <charset val="134"/>
      </rPr>
      <t>钢筋制安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</si>
  <si>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:4267</t>
    </r>
  </si>
  <si>
    <r>
      <rPr>
        <sz val="10"/>
        <rFont val="宋体"/>
        <charset val="134"/>
      </rPr>
      <t>定额单位</t>
    </r>
    <r>
      <rPr>
        <sz val="10"/>
        <rFont val="Times New Roman"/>
        <charset val="134"/>
      </rPr>
      <t>:t</t>
    </r>
  </si>
  <si>
    <t>钢筋</t>
  </si>
  <si>
    <t>铁丝</t>
  </si>
  <si>
    <t>钢筋调直机   14kw</t>
  </si>
  <si>
    <t>风(砂)水枪</t>
  </si>
  <si>
    <t>钢筋切断机   20kw</t>
  </si>
  <si>
    <r>
      <rPr>
        <sz val="10"/>
        <rFont val="宋体"/>
        <charset val="134"/>
      </rPr>
      <t xml:space="preserve">钢筋弯曲机   </t>
    </r>
    <r>
      <rPr>
        <sz val="12"/>
        <rFont val="宋体"/>
        <charset val="134"/>
      </rPr>
      <t>ø</t>
    </r>
    <r>
      <rPr>
        <sz val="10"/>
        <rFont val="宋体"/>
        <charset val="134"/>
      </rPr>
      <t>6-40</t>
    </r>
  </si>
  <si>
    <t>电焊机  25kva</t>
  </si>
  <si>
    <t>对焊机   电弧150型</t>
  </si>
  <si>
    <t>载重汽车   5t</t>
  </si>
  <si>
    <t>汽车起重机   10t</t>
  </si>
  <si>
    <t>其他机械费</t>
  </si>
  <si>
    <r>
      <rPr>
        <b/>
        <sz val="12"/>
        <rFont val="Times New Roman"/>
        <charset val="134"/>
      </rPr>
      <t>V</t>
    </r>
    <r>
      <rPr>
        <b/>
        <sz val="12"/>
        <rFont val="宋体"/>
        <charset val="134"/>
      </rPr>
      <t>型</t>
    </r>
    <r>
      <rPr>
        <b/>
        <sz val="12"/>
        <rFont val="Times New Roman"/>
        <charset val="134"/>
      </rPr>
      <t xml:space="preserve">       </t>
    </r>
    <r>
      <rPr>
        <b/>
        <sz val="12"/>
        <rFont val="宋体"/>
        <charset val="134"/>
      </rPr>
      <t>塑料带止水</t>
    </r>
    <r>
      <rPr>
        <b/>
        <sz val="12"/>
        <rFont val="Times New Roman"/>
        <charset val="134"/>
      </rPr>
      <t xml:space="preserve"> 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</si>
  <si>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:4272</t>
    </r>
  </si>
  <si>
    <r>
      <rPr>
        <sz val="10"/>
        <rFont val="宋体"/>
        <charset val="134"/>
      </rPr>
      <t>定额单位</t>
    </r>
    <r>
      <rPr>
        <sz val="10"/>
        <rFont val="Times New Roman"/>
        <charset val="134"/>
      </rPr>
      <t>: 100</t>
    </r>
    <r>
      <rPr>
        <sz val="10"/>
        <rFont val="宋体"/>
        <charset val="134"/>
      </rPr>
      <t>延长米</t>
    </r>
  </si>
  <si>
    <r>
      <rPr>
        <sz val="10"/>
        <rFont val="Times New Roman"/>
        <charset val="134"/>
      </rPr>
      <t>V</t>
    </r>
    <r>
      <rPr>
        <sz val="10"/>
        <rFont val="宋体"/>
        <charset val="134"/>
      </rPr>
      <t>型塑料带止水</t>
    </r>
  </si>
  <si>
    <r>
      <rPr>
        <b/>
        <sz val="12"/>
        <rFont val="Times New Roman"/>
        <charset val="134"/>
      </rPr>
      <t xml:space="preserve">   651</t>
    </r>
    <r>
      <rPr>
        <b/>
        <sz val="12"/>
        <rFont val="宋体"/>
        <charset val="134"/>
      </rPr>
      <t>型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塑料带止水</t>
    </r>
    <r>
      <rPr>
        <b/>
        <sz val="12"/>
        <rFont val="Times New Roman"/>
        <charset val="134"/>
      </rPr>
      <t xml:space="preserve"> 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</si>
  <si>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塑料带止水</t>
    </r>
    <r>
      <rPr>
        <sz val="10"/>
        <rFont val="Times New Roman"/>
        <charset val="134"/>
      </rPr>
      <t>"651"</t>
    </r>
  </si>
  <si>
    <t xml:space="preserve">                                                                                                           单   位   估   价   表</t>
  </si>
  <si>
    <r>
      <rPr>
        <b/>
        <sz val="10"/>
        <rFont val="Times New Roman"/>
        <charset val="134"/>
      </rPr>
      <t xml:space="preserve">                                                                         </t>
    </r>
    <r>
      <rPr>
        <b/>
        <sz val="10"/>
        <rFont val="宋体"/>
        <charset val="134"/>
      </rPr>
      <t>水泥砂浆抹面</t>
    </r>
    <r>
      <rPr>
        <b/>
        <sz val="10"/>
        <rFont val="Times New Roman"/>
        <charset val="134"/>
      </rPr>
      <t xml:space="preserve">M10 </t>
    </r>
    <r>
      <rPr>
        <b/>
        <sz val="10"/>
        <rFont val="宋体"/>
        <charset val="134"/>
      </rPr>
      <t>工程</t>
    </r>
  </si>
  <si>
    <t xml:space="preserve">                                                                         沥青麻刀 工程</t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</si>
  <si>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:4286</t>
    </r>
  </si>
  <si>
    <t>定额编号:4295</t>
  </si>
  <si>
    <t>定额单位:100m2</t>
  </si>
  <si>
    <t>工作内容：立面</t>
  </si>
  <si>
    <t>沥青</t>
  </si>
  <si>
    <t>煤沥青</t>
  </si>
  <si>
    <t>木柴</t>
  </si>
  <si>
    <t>麻刀</t>
  </si>
  <si>
    <r>
      <rPr>
        <b/>
        <sz val="12"/>
        <rFont val="Times New Roman"/>
        <charset val="134"/>
      </rPr>
      <t xml:space="preserve">                                          </t>
    </r>
    <r>
      <rPr>
        <b/>
        <sz val="12"/>
        <rFont val="宋体"/>
        <charset val="134"/>
      </rPr>
      <t>沥青水泥砂浆</t>
    </r>
    <r>
      <rPr>
        <b/>
        <sz val="12"/>
        <rFont val="Times New Roman"/>
        <charset val="134"/>
      </rPr>
      <t xml:space="preserve">(1:1:4)             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</si>
  <si>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:4296</t>
    </r>
  </si>
  <si>
    <r>
      <rPr>
        <sz val="10"/>
        <rFont val="宋体"/>
        <charset val="134"/>
      </rPr>
      <t>定额单位</t>
    </r>
    <r>
      <rPr>
        <sz val="10"/>
        <rFont val="Times New Roman"/>
        <charset val="134"/>
      </rPr>
      <t>: 100m</t>
    </r>
    <r>
      <rPr>
        <vertAlign val="superscript"/>
        <sz val="10"/>
        <rFont val="Times New Roman"/>
        <charset val="134"/>
      </rPr>
      <t>2</t>
    </r>
  </si>
  <si>
    <t>砂</t>
  </si>
  <si>
    <r>
      <rPr>
        <b/>
        <sz val="10"/>
        <rFont val="Times New Roman"/>
        <charset val="134"/>
      </rPr>
      <t xml:space="preserve">                                                                         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土工布铺设（平）工程</t>
    </r>
  </si>
  <si>
    <r>
      <rPr>
        <b/>
        <sz val="10"/>
        <rFont val="Times New Roman"/>
        <charset val="134"/>
      </rPr>
      <t xml:space="preserve">                                                                         </t>
    </r>
    <r>
      <rPr>
        <b/>
        <sz val="10"/>
        <rFont val="宋体"/>
        <charset val="134"/>
      </rPr>
      <t>复合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土工布铺设（平）工程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</si>
  <si>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:101203</t>
    </r>
  </si>
  <si>
    <t>工作内容：300g</t>
  </si>
  <si>
    <r>
      <rPr>
        <sz val="10"/>
        <rFont val="宋体"/>
        <charset val="134"/>
      </rPr>
      <t>工作内容：2</t>
    </r>
    <r>
      <rPr>
        <sz val="10"/>
        <rFont val="宋体"/>
        <charset val="134"/>
      </rPr>
      <t>00</t>
    </r>
    <r>
      <rPr>
        <sz val="10"/>
        <rFont val="宋体"/>
        <charset val="134"/>
      </rPr>
      <t>g-0.3mm</t>
    </r>
  </si>
  <si>
    <t>土工布</t>
  </si>
  <si>
    <r>
      <rPr>
        <sz val="10"/>
        <rFont val="Times New Roman"/>
        <charset val="134"/>
      </rPr>
      <t>m</t>
    </r>
    <r>
      <rPr>
        <vertAlign val="superscript"/>
        <sz val="10"/>
        <rFont val="Times New Roman"/>
        <charset val="134"/>
      </rPr>
      <t>2</t>
    </r>
  </si>
  <si>
    <t>复合土工布</t>
  </si>
  <si>
    <t>工程较</t>
  </si>
  <si>
    <t>300g土工布</t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</si>
  <si>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:10203</t>
    </r>
  </si>
  <si>
    <t>工作内容：200g-0.5mm-200g</t>
  </si>
  <si>
    <r>
      <rPr>
        <b/>
        <sz val="12"/>
        <rFont val="Times New Roman"/>
        <charset val="134"/>
      </rPr>
      <t xml:space="preserve">                                              </t>
    </r>
    <r>
      <rPr>
        <b/>
        <sz val="12"/>
        <rFont val="宋体"/>
        <charset val="134"/>
      </rPr>
      <t>混凝土管安装</t>
    </r>
    <r>
      <rPr>
        <b/>
        <sz val="12"/>
        <rFont val="Times New Roman"/>
        <charset val="134"/>
      </rPr>
      <t xml:space="preserve">0.6m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</si>
  <si>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:8060</t>
    </r>
  </si>
  <si>
    <r>
      <rPr>
        <sz val="10"/>
        <rFont val="宋体"/>
        <charset val="134"/>
      </rPr>
      <t>定额单位</t>
    </r>
    <r>
      <rPr>
        <sz val="10"/>
        <rFont val="Times New Roman"/>
        <charset val="134"/>
      </rPr>
      <t>:100m</t>
    </r>
  </si>
  <si>
    <t>工作内容:二级排水管</t>
  </si>
  <si>
    <r>
      <rPr>
        <sz val="10"/>
        <rFont val="宋体"/>
        <charset val="134"/>
      </rPr>
      <t>钢筋混凝土管  φ=0.</t>
    </r>
    <r>
      <rPr>
        <sz val="10"/>
        <rFont val="宋体"/>
        <charset val="134"/>
      </rPr>
      <t>6</t>
    </r>
    <r>
      <rPr>
        <sz val="10"/>
        <rFont val="宋体"/>
        <charset val="134"/>
      </rPr>
      <t>m</t>
    </r>
  </si>
  <si>
    <t>ｍ</t>
  </si>
  <si>
    <t>橡胶止水圈</t>
  </si>
  <si>
    <t>水泥砂浆</t>
  </si>
  <si>
    <r>
      <rPr>
        <sz val="10"/>
        <rFont val="宋体"/>
        <charset val="134"/>
      </rPr>
      <t>ｍ</t>
    </r>
    <r>
      <rPr>
        <vertAlign val="superscript"/>
        <sz val="10"/>
        <rFont val="宋体"/>
        <charset val="134"/>
      </rPr>
      <t>３</t>
    </r>
  </si>
  <si>
    <r>
      <rPr>
        <sz val="10"/>
        <rFont val="宋体"/>
        <charset val="134"/>
      </rPr>
      <t>卷扬机</t>
    </r>
    <r>
      <rPr>
        <sz val="10"/>
        <rFont val="Times New Roman"/>
        <charset val="134"/>
      </rPr>
      <t xml:space="preserve"> 3t</t>
    </r>
  </si>
  <si>
    <r>
      <rPr>
        <sz val="10"/>
        <rFont val="宋体"/>
        <charset val="134"/>
      </rPr>
      <t>电动葫芦</t>
    </r>
    <r>
      <rPr>
        <sz val="10"/>
        <rFont val="Times New Roman"/>
        <charset val="134"/>
      </rPr>
      <t xml:space="preserve"> 3t</t>
    </r>
  </si>
  <si>
    <t>主材</t>
  </si>
  <si>
    <r>
      <rPr>
        <b/>
        <sz val="12"/>
        <rFont val="Times New Roman"/>
        <charset val="134"/>
      </rPr>
      <t xml:space="preserve">                                             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混凝土管安装</t>
    </r>
    <r>
      <rPr>
        <b/>
        <sz val="12"/>
        <rFont val="Times New Roman"/>
        <charset val="134"/>
      </rPr>
      <t xml:space="preserve">1.0m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</si>
  <si>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:8062</t>
    </r>
  </si>
  <si>
    <t>钢筋混凝土管  φ=1.0m</t>
  </si>
  <si>
    <t>混凝土管  φ=1.0m</t>
  </si>
  <si>
    <r>
      <rPr>
        <b/>
        <sz val="12"/>
        <rFont val="Times New Roman"/>
        <charset val="134"/>
      </rPr>
      <t xml:space="preserve">                                              </t>
    </r>
    <r>
      <rPr>
        <b/>
        <sz val="12"/>
        <rFont val="宋体"/>
        <charset val="134"/>
      </rPr>
      <t>混凝土管安装</t>
    </r>
    <r>
      <rPr>
        <b/>
        <sz val="12"/>
        <rFont val="Times New Roman"/>
        <charset val="134"/>
      </rPr>
      <t xml:space="preserve">1.2m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</si>
  <si>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:8063</t>
    </r>
  </si>
  <si>
    <t>钢筋混凝土管  φ=1.2m</t>
  </si>
  <si>
    <r>
      <rPr>
        <b/>
        <sz val="12"/>
        <rFont val="Times New Roman"/>
        <charset val="134"/>
      </rPr>
      <t xml:space="preserve">                                               </t>
    </r>
    <r>
      <rPr>
        <b/>
        <sz val="12"/>
        <rFont val="宋体"/>
        <charset val="134"/>
      </rPr>
      <t>混凝土管安装</t>
    </r>
    <r>
      <rPr>
        <b/>
        <sz val="12"/>
        <rFont val="Times New Roman"/>
        <charset val="134"/>
      </rPr>
      <t xml:space="preserve">1.5m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</si>
  <si>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:8065</t>
    </r>
  </si>
  <si>
    <t>二级排水管</t>
  </si>
  <si>
    <t>钢筋混凝土管  φ=1.5m</t>
  </si>
  <si>
    <t>混凝土管  φ=1.5m</t>
  </si>
  <si>
    <r>
      <rPr>
        <b/>
        <sz val="12"/>
        <rFont val="Times New Roman"/>
        <charset val="134"/>
      </rPr>
      <t xml:space="preserve">                                               </t>
    </r>
    <r>
      <rPr>
        <b/>
        <sz val="12"/>
        <rFont val="宋体"/>
        <charset val="134"/>
      </rPr>
      <t>混凝土管安装</t>
    </r>
    <r>
      <rPr>
        <b/>
        <sz val="12"/>
        <rFont val="Times New Roman"/>
        <charset val="134"/>
      </rPr>
      <t xml:space="preserve">1.8m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</si>
  <si>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钢筋混凝土管  φ=1.</t>
    </r>
    <r>
      <rPr>
        <sz val="10"/>
        <rFont val="宋体"/>
        <charset val="134"/>
      </rPr>
      <t>8</t>
    </r>
    <r>
      <rPr>
        <sz val="10"/>
        <rFont val="宋体"/>
        <charset val="134"/>
      </rPr>
      <t>m</t>
    </r>
  </si>
  <si>
    <r>
      <rPr>
        <sz val="10"/>
        <rFont val="宋体"/>
        <charset val="134"/>
      </rPr>
      <t>混凝土管  φ=1.</t>
    </r>
    <r>
      <rPr>
        <sz val="10"/>
        <rFont val="宋体"/>
        <charset val="134"/>
      </rPr>
      <t>8</t>
    </r>
    <r>
      <rPr>
        <sz val="10"/>
        <rFont val="宋体"/>
        <charset val="134"/>
      </rPr>
      <t>m</t>
    </r>
  </si>
  <si>
    <r>
      <rPr>
        <b/>
        <sz val="12"/>
        <rFont val="Times New Roman"/>
        <charset val="134"/>
      </rPr>
      <t xml:space="preserve">                                               </t>
    </r>
    <r>
      <rPr>
        <b/>
        <sz val="12"/>
        <rFont val="宋体"/>
        <charset val="134"/>
      </rPr>
      <t>混凝土管安装</t>
    </r>
    <r>
      <rPr>
        <b/>
        <sz val="12"/>
        <rFont val="Times New Roman"/>
        <charset val="134"/>
      </rPr>
      <t xml:space="preserve">2.0m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</si>
  <si>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钢筋混凝土管  φ=</t>
    </r>
    <r>
      <rPr>
        <sz val="10"/>
        <rFont val="宋体"/>
        <charset val="134"/>
      </rPr>
      <t>2.0</t>
    </r>
    <r>
      <rPr>
        <sz val="10"/>
        <rFont val="宋体"/>
        <charset val="134"/>
      </rPr>
      <t>m</t>
    </r>
  </si>
  <si>
    <r>
      <rPr>
        <sz val="10"/>
        <rFont val="宋体"/>
        <charset val="134"/>
      </rPr>
      <t>混凝土管  φ=</t>
    </r>
    <r>
      <rPr>
        <sz val="10"/>
        <rFont val="宋体"/>
        <charset val="134"/>
      </rPr>
      <t>2.0</t>
    </r>
    <r>
      <rPr>
        <sz val="10"/>
        <rFont val="宋体"/>
        <charset val="134"/>
      </rPr>
      <t>m</t>
    </r>
  </si>
  <si>
    <r>
      <rPr>
        <b/>
        <sz val="12"/>
        <rFont val="Times New Roman"/>
        <charset val="134"/>
      </rPr>
      <t xml:space="preserve">                                                 </t>
    </r>
    <r>
      <rPr>
        <b/>
        <sz val="12"/>
        <rFont val="宋体"/>
        <charset val="134"/>
      </rPr>
      <t>预应力混凝土管</t>
    </r>
    <r>
      <rPr>
        <b/>
        <sz val="12"/>
        <rFont val="Times New Roman"/>
        <charset val="134"/>
      </rPr>
      <t>DN1.0m</t>
    </r>
    <r>
      <rPr>
        <b/>
        <sz val="12"/>
        <rFont val="宋体"/>
        <charset val="134"/>
      </rPr>
      <t>安装费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</si>
  <si>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t xml:space="preserve"> 预应力混凝土管  φ=1.0m</t>
  </si>
  <si>
    <t>预应力混凝土管  φ=1.0m</t>
  </si>
  <si>
    <r>
      <rPr>
        <b/>
        <sz val="12"/>
        <rFont val="Times New Roman"/>
        <charset val="134"/>
      </rPr>
      <t xml:space="preserve">                                              PCP</t>
    </r>
    <r>
      <rPr>
        <b/>
        <sz val="12"/>
        <rFont val="宋体"/>
        <charset val="134"/>
      </rPr>
      <t>混凝土管安装费</t>
    </r>
    <r>
      <rPr>
        <b/>
        <sz val="12"/>
        <rFont val="Times New Roman"/>
        <charset val="134"/>
      </rPr>
      <t xml:space="preserve">0.4m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</si>
  <si>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钢筋混凝土管  φ=0.</t>
    </r>
    <r>
      <rPr>
        <sz val="10"/>
        <rFont val="宋体"/>
        <charset val="134"/>
      </rPr>
      <t>4</t>
    </r>
    <r>
      <rPr>
        <sz val="10"/>
        <rFont val="宋体"/>
        <charset val="134"/>
      </rPr>
      <t>m</t>
    </r>
  </si>
  <si>
    <r>
      <rPr>
        <b/>
        <sz val="12"/>
        <rFont val="Times New Roman"/>
        <charset val="134"/>
      </rPr>
      <t xml:space="preserve">                                              PCP</t>
    </r>
    <r>
      <rPr>
        <b/>
        <sz val="12"/>
        <rFont val="宋体"/>
        <charset val="134"/>
      </rPr>
      <t>混凝土管安装费</t>
    </r>
    <r>
      <rPr>
        <b/>
        <sz val="12"/>
        <rFont val="Times New Roman"/>
        <charset val="134"/>
      </rPr>
      <t xml:space="preserve">0.5m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</si>
  <si>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钢筋混凝土管  φ=0.</t>
    </r>
    <r>
      <rPr>
        <sz val="10"/>
        <rFont val="宋体"/>
        <charset val="134"/>
      </rPr>
      <t>5</t>
    </r>
    <r>
      <rPr>
        <sz val="10"/>
        <rFont val="宋体"/>
        <charset val="134"/>
      </rPr>
      <t>m</t>
    </r>
  </si>
  <si>
    <r>
      <rPr>
        <b/>
        <sz val="12"/>
        <rFont val="Times New Roman"/>
        <charset val="134"/>
      </rPr>
      <t xml:space="preserve">                                              PCP</t>
    </r>
    <r>
      <rPr>
        <b/>
        <sz val="12"/>
        <rFont val="宋体"/>
        <charset val="134"/>
      </rPr>
      <t>混凝土管安装费</t>
    </r>
    <r>
      <rPr>
        <b/>
        <sz val="12"/>
        <rFont val="Times New Roman"/>
        <charset val="134"/>
      </rPr>
      <t xml:space="preserve">0.8m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</si>
  <si>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:8061</t>
    </r>
  </si>
  <si>
    <t>钢筋混凝土管  φ=0.8m</t>
  </si>
  <si>
    <r>
      <rPr>
        <b/>
        <sz val="12"/>
        <rFont val="Times New Roman"/>
        <charset val="134"/>
      </rPr>
      <t xml:space="preserve">                                                         </t>
    </r>
    <r>
      <rPr>
        <b/>
        <sz val="12"/>
        <rFont val="宋体"/>
        <charset val="134"/>
      </rPr>
      <t>砂砾石路面工程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</si>
  <si>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:10017</t>
    </r>
  </si>
  <si>
    <r>
      <rPr>
        <sz val="10"/>
        <rFont val="宋体"/>
        <charset val="134"/>
      </rPr>
      <t>定额单位</t>
    </r>
    <r>
      <rPr>
        <sz val="10"/>
        <rFont val="Times New Roman"/>
        <charset val="134"/>
      </rPr>
      <t>:1000m</t>
    </r>
    <r>
      <rPr>
        <vertAlign val="superscript"/>
        <sz val="10"/>
        <rFont val="Times New Roman"/>
        <charset val="134"/>
      </rPr>
      <t>2</t>
    </r>
  </si>
  <si>
    <r>
      <rPr>
        <sz val="10"/>
        <rFont val="宋体"/>
        <charset val="134"/>
      </rPr>
      <t>工作内容：δ1</t>
    </r>
    <r>
      <rPr>
        <sz val="10"/>
        <rFont val="宋体"/>
        <charset val="134"/>
      </rPr>
      <t>5</t>
    </r>
    <r>
      <rPr>
        <sz val="10"/>
        <rFont val="Times New Roman"/>
        <charset val="134"/>
      </rPr>
      <t>cm</t>
    </r>
  </si>
  <si>
    <r>
      <rPr>
        <sz val="10"/>
        <rFont val="宋体"/>
        <charset val="134"/>
      </rPr>
      <t>工作内容：δ1</t>
    </r>
    <r>
      <rPr>
        <sz val="10"/>
        <rFont val="宋体"/>
        <charset val="134"/>
      </rPr>
      <t>0</t>
    </r>
    <r>
      <rPr>
        <sz val="10"/>
        <rFont val="Times New Roman"/>
        <charset val="134"/>
      </rPr>
      <t>cm</t>
    </r>
  </si>
  <si>
    <r>
      <rPr>
        <sz val="10"/>
        <rFont val="宋体"/>
        <charset val="134"/>
      </rPr>
      <t>内然压路机</t>
    </r>
    <r>
      <rPr>
        <sz val="10"/>
        <rFont val="Times New Roman"/>
        <charset val="134"/>
      </rPr>
      <t>12-15t</t>
    </r>
  </si>
  <si>
    <r>
      <rPr>
        <sz val="10"/>
        <rFont val="宋体"/>
        <charset val="134"/>
      </rPr>
      <t>工作内容：δ20</t>
    </r>
    <r>
      <rPr>
        <sz val="10"/>
        <rFont val="Times New Roman"/>
        <charset val="134"/>
      </rPr>
      <t>cm</t>
    </r>
  </si>
  <si>
    <r>
      <rPr>
        <b/>
        <sz val="12"/>
        <rFont val="Times New Roman"/>
        <charset val="134"/>
      </rPr>
      <t xml:space="preserve">                                                  </t>
    </r>
    <r>
      <rPr>
        <b/>
        <sz val="12"/>
        <rFont val="宋体"/>
        <charset val="134"/>
      </rPr>
      <t>桥面铺装层混凝土</t>
    </r>
    <r>
      <rPr>
        <b/>
        <sz val="12"/>
        <rFont val="Times New Roman"/>
        <charset val="134"/>
      </rPr>
      <t>C20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</si>
  <si>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:10019</t>
    </r>
    <r>
      <rPr>
        <sz val="10"/>
        <rFont val="宋体"/>
        <charset val="134"/>
      </rPr>
      <t>调</t>
    </r>
  </si>
  <si>
    <r>
      <rPr>
        <sz val="10"/>
        <rFont val="宋体"/>
        <charset val="134"/>
      </rPr>
      <t>工作内容：δ</t>
    </r>
    <r>
      <rPr>
        <sz val="10"/>
        <rFont val="Times New Roman"/>
        <charset val="134"/>
      </rPr>
      <t>15cm</t>
    </r>
  </si>
  <si>
    <t>混凝土搅拌机0.4m3</t>
  </si>
  <si>
    <r>
      <rPr>
        <b/>
        <sz val="12"/>
        <rFont val="Times New Roman"/>
        <charset val="134"/>
      </rPr>
      <t xml:space="preserve">                                                  </t>
    </r>
    <r>
      <rPr>
        <b/>
        <sz val="12"/>
        <rFont val="宋体"/>
        <charset val="134"/>
      </rPr>
      <t>沥青砼路面工程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</si>
  <si>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:10020</t>
    </r>
    <r>
      <rPr>
        <sz val="10"/>
        <rFont val="宋体"/>
        <charset val="134"/>
      </rPr>
      <t>调</t>
    </r>
  </si>
  <si>
    <r>
      <rPr>
        <sz val="10"/>
        <rFont val="宋体"/>
        <charset val="134"/>
      </rPr>
      <t>工作内容：δ8</t>
    </r>
    <r>
      <rPr>
        <sz val="10"/>
        <rFont val="Times New Roman"/>
        <charset val="134"/>
      </rPr>
      <t>cm</t>
    </r>
  </si>
  <si>
    <t>矿粉</t>
  </si>
  <si>
    <t>石屑</t>
  </si>
  <si>
    <r>
      <rPr>
        <b/>
        <sz val="12"/>
        <rFont val="Times New Roman"/>
        <charset val="134"/>
      </rPr>
      <t xml:space="preserve">                                                         </t>
    </r>
    <r>
      <rPr>
        <b/>
        <sz val="12"/>
        <rFont val="宋体"/>
        <charset val="134"/>
      </rPr>
      <t>泥结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石路面工程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</si>
  <si>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:10017</t>
    </r>
    <r>
      <rPr>
        <sz val="10"/>
        <rFont val="宋体"/>
        <charset val="134"/>
      </rPr>
      <t>调</t>
    </r>
  </si>
  <si>
    <t>碎（砾）石</t>
  </si>
  <si>
    <t>粘土</t>
  </si>
  <si>
    <t>材料差</t>
  </si>
  <si>
    <r>
      <rPr>
        <b/>
        <sz val="14"/>
        <rFont val="宋体"/>
        <charset val="134"/>
      </rPr>
      <t>单</t>
    </r>
    <r>
      <rPr>
        <b/>
        <sz val="14"/>
        <rFont val="Times New Roman"/>
        <charset val="134"/>
      </rPr>
      <t xml:space="preserve">   </t>
    </r>
    <r>
      <rPr>
        <b/>
        <sz val="14"/>
        <rFont val="宋体"/>
        <charset val="134"/>
      </rPr>
      <t>位</t>
    </r>
    <r>
      <rPr>
        <b/>
        <sz val="14"/>
        <rFont val="Times New Roman"/>
        <charset val="134"/>
      </rPr>
      <t xml:space="preserve">   </t>
    </r>
    <r>
      <rPr>
        <b/>
        <sz val="14"/>
        <rFont val="宋体"/>
        <charset val="134"/>
      </rPr>
      <t>估</t>
    </r>
    <r>
      <rPr>
        <b/>
        <sz val="14"/>
        <rFont val="Times New Roman"/>
        <charset val="134"/>
      </rPr>
      <t xml:space="preserve">   </t>
    </r>
    <r>
      <rPr>
        <b/>
        <sz val="14"/>
        <rFont val="宋体"/>
        <charset val="134"/>
      </rPr>
      <t>价</t>
    </r>
    <r>
      <rPr>
        <b/>
        <sz val="14"/>
        <rFont val="Times New Roman"/>
        <charset val="134"/>
      </rPr>
      <t xml:space="preserve">   </t>
    </r>
    <r>
      <rPr>
        <b/>
        <sz val="14"/>
        <rFont val="宋体"/>
        <charset val="134"/>
      </rPr>
      <t>表</t>
    </r>
  </si>
  <si>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建筑物细部结构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</si>
  <si>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</t>
    </r>
  </si>
  <si>
    <r>
      <rPr>
        <sz val="10"/>
        <rFont val="宋体"/>
        <charset val="134"/>
      </rPr>
      <t>定额单位</t>
    </r>
    <r>
      <rPr>
        <sz val="10"/>
        <rFont val="Times New Roman"/>
        <charset val="134"/>
      </rPr>
      <t>:m</t>
    </r>
    <r>
      <rPr>
        <vertAlign val="superscript"/>
        <sz val="10"/>
        <rFont val="Times New Roman"/>
        <charset val="134"/>
      </rPr>
      <t>3</t>
    </r>
  </si>
  <si>
    <r>
      <rPr>
        <b/>
        <sz val="12"/>
        <rFont val="宋体"/>
        <charset val="134"/>
      </rPr>
      <t>渠道细部结构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</si>
  <si>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r>
      <rPr>
        <b/>
        <sz val="12"/>
        <rFont val="宋体"/>
        <charset val="134"/>
      </rPr>
      <t>泵站细部结构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</si>
  <si>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r>
      <rPr>
        <b/>
        <sz val="12"/>
        <rFont val="宋体"/>
        <charset val="134"/>
      </rPr>
      <t>坝体细部结构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</si>
  <si>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r>
      <rPr>
        <b/>
        <sz val="12"/>
        <rFont val="Times New Roman"/>
        <charset val="134"/>
      </rPr>
      <t xml:space="preserve">                                            </t>
    </r>
    <r>
      <rPr>
        <b/>
        <sz val="12"/>
        <rFont val="宋体"/>
        <charset val="134"/>
      </rPr>
      <t>箱涵混凝土</t>
    </r>
    <r>
      <rPr>
        <b/>
        <sz val="12"/>
        <rFont val="Times New Roman"/>
        <charset val="134"/>
      </rPr>
      <t xml:space="preserve">C30          </t>
    </r>
    <r>
      <rPr>
        <b/>
        <sz val="12"/>
        <rFont val="宋体"/>
        <charset val="134"/>
      </rPr>
      <t>工程</t>
    </r>
  </si>
  <si>
    <r>
      <rPr>
        <b/>
        <sz val="12"/>
        <rFont val="Times New Roman"/>
        <charset val="134"/>
      </rPr>
      <t xml:space="preserve">                                            </t>
    </r>
    <r>
      <rPr>
        <b/>
        <sz val="12"/>
        <rFont val="宋体"/>
        <charset val="134"/>
      </rPr>
      <t>箱涵混凝土</t>
    </r>
    <r>
      <rPr>
        <b/>
        <sz val="12"/>
        <rFont val="Times New Roman"/>
        <charset val="134"/>
      </rPr>
      <t xml:space="preserve">C40      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</si>
  <si>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:4085</t>
    </r>
  </si>
  <si>
    <t>履带起重机  10t</t>
  </si>
  <si>
    <t>电焊机    直流16-30KVA</t>
  </si>
  <si>
    <t>浆砌石拆除（机械）工程</t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</si>
  <si>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:10184</t>
    </r>
  </si>
  <si>
    <t>材料费</t>
  </si>
  <si>
    <t>挖掘机1.0m3</t>
  </si>
  <si>
    <t>材差 柴油</t>
  </si>
  <si>
    <t>混凝土板拆除（机械）工程</t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</si>
  <si>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:10188</t>
    </r>
  </si>
  <si>
    <t>打夯机1.0m3</t>
  </si>
  <si>
    <t>混凝土拆除（机械）工程</t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</si>
  <si>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:10181</t>
    </r>
  </si>
  <si>
    <t>钢筋混凝土拆除（机械）工程</t>
  </si>
  <si>
    <r>
      <rPr>
        <sz val="10"/>
        <rFont val="宋体"/>
        <charset val="134"/>
      </rPr>
      <t>挖掘机1.0m</t>
    </r>
    <r>
      <rPr>
        <vertAlign val="superscript"/>
        <sz val="10"/>
        <rFont val="宋体"/>
        <charset val="134"/>
      </rPr>
      <t>3</t>
    </r>
  </si>
  <si>
    <r>
      <rPr>
        <b/>
        <sz val="12"/>
        <rFont val="Times New Roman"/>
        <charset val="134"/>
      </rPr>
      <t xml:space="preserve">                                              </t>
    </r>
    <r>
      <rPr>
        <b/>
        <sz val="12"/>
        <rFont val="宋体"/>
        <charset val="134"/>
      </rPr>
      <t>渠道预制板</t>
    </r>
    <r>
      <rPr>
        <b/>
        <sz val="12"/>
        <rFont val="Times New Roman"/>
        <charset val="134"/>
      </rPr>
      <t xml:space="preserve">4-8cm C20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</si>
  <si>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:4138</t>
    </r>
  </si>
  <si>
    <t>振捣器  插入式2.2KW</t>
  </si>
  <si>
    <t>面积</t>
  </si>
  <si>
    <t>砼板量</t>
  </si>
  <si>
    <t>汽油</t>
  </si>
  <si>
    <t>补偿费</t>
  </si>
  <si>
    <t>复垦费</t>
  </si>
  <si>
    <t>砼垫层</t>
  </si>
  <si>
    <t>推平</t>
  </si>
  <si>
    <r>
      <rPr>
        <b/>
        <sz val="12"/>
        <rFont val="Times New Roman"/>
        <charset val="134"/>
      </rPr>
      <t xml:space="preserve">                                              </t>
    </r>
    <r>
      <rPr>
        <b/>
        <sz val="12"/>
        <rFont val="宋体"/>
        <charset val="134"/>
      </rPr>
      <t>渠道预制</t>
    </r>
    <r>
      <rPr>
        <b/>
        <sz val="12"/>
        <rFont val="Times New Roman"/>
        <charset val="134"/>
      </rPr>
      <t>U</t>
    </r>
    <r>
      <rPr>
        <b/>
        <sz val="12"/>
        <rFont val="宋体"/>
        <charset val="134"/>
      </rPr>
      <t>型板</t>
    </r>
    <r>
      <rPr>
        <b/>
        <sz val="12"/>
        <rFont val="Times New Roman"/>
        <charset val="134"/>
      </rPr>
      <t xml:space="preserve"> C20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</si>
  <si>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:4142</t>
    </r>
  </si>
  <si>
    <t>专用钢模板</t>
  </si>
  <si>
    <r>
      <rPr>
        <b/>
        <sz val="12"/>
        <rFont val="Times New Roman"/>
        <charset val="134"/>
      </rPr>
      <t xml:space="preserve">                                          </t>
    </r>
    <r>
      <rPr>
        <b/>
        <sz val="12"/>
        <rFont val="宋体"/>
        <charset val="134"/>
      </rPr>
      <t>预制板运输</t>
    </r>
    <r>
      <rPr>
        <b/>
        <sz val="12"/>
        <rFont val="Times New Roman"/>
        <charset val="134"/>
      </rPr>
      <t>5.0km</t>
    </r>
    <r>
      <rPr>
        <b/>
        <sz val="12"/>
        <rFont val="宋体"/>
        <charset val="134"/>
      </rPr>
      <t>（手扶）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</si>
  <si>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:4217</t>
    </r>
  </si>
  <si>
    <t>拖拉机   11KW</t>
  </si>
  <si>
    <r>
      <rPr>
        <b/>
        <sz val="12"/>
        <rFont val="Times New Roman"/>
        <charset val="134"/>
      </rPr>
      <t xml:space="preserve">                                         </t>
    </r>
    <r>
      <rPr>
        <b/>
        <sz val="12"/>
        <rFont val="宋体"/>
        <charset val="134"/>
      </rPr>
      <t>渠道预制板砌筑</t>
    </r>
    <r>
      <rPr>
        <b/>
        <sz val="12"/>
        <rFont val="Times New Roman"/>
        <charset val="134"/>
      </rPr>
      <t xml:space="preserve">4-8cm C20 </t>
    </r>
    <r>
      <rPr>
        <b/>
        <sz val="12"/>
        <rFont val="宋体"/>
        <charset val="134"/>
      </rPr>
      <t>工程</t>
    </r>
  </si>
  <si>
    <t>定额编号:3054调整</t>
  </si>
  <si>
    <t>工作内容： 缝板比0.28</t>
  </si>
  <si>
    <t>内插</t>
  </si>
  <si>
    <t>混凝土预制构件</t>
  </si>
  <si>
    <t>砂浆或细粒混凝土</t>
  </si>
  <si>
    <t>预制板运输</t>
  </si>
  <si>
    <r>
      <rPr>
        <b/>
        <sz val="12"/>
        <rFont val="Times New Roman"/>
        <charset val="134"/>
      </rPr>
      <t xml:space="preserve">                                              </t>
    </r>
    <r>
      <rPr>
        <b/>
        <sz val="12"/>
        <rFont val="宋体"/>
        <charset val="134"/>
      </rPr>
      <t>渠道预制板</t>
    </r>
    <r>
      <rPr>
        <b/>
        <sz val="12"/>
        <rFont val="Times New Roman"/>
        <charset val="134"/>
      </rPr>
      <t>4-8cm C20</t>
    </r>
    <r>
      <rPr>
        <b/>
        <sz val="12"/>
        <rFont val="宋体"/>
        <charset val="134"/>
      </rPr>
      <t>工程</t>
    </r>
  </si>
  <si>
    <r>
      <rPr>
        <b/>
        <sz val="12"/>
        <rFont val="Times New Roman"/>
        <charset val="134"/>
      </rPr>
      <t xml:space="preserve">                                          </t>
    </r>
    <r>
      <rPr>
        <b/>
        <sz val="12"/>
        <rFont val="宋体"/>
        <charset val="134"/>
      </rPr>
      <t>预制板运输</t>
    </r>
    <r>
      <rPr>
        <b/>
        <sz val="12"/>
        <rFont val="Times New Roman"/>
        <charset val="134"/>
      </rPr>
      <t>10km</t>
    </r>
    <r>
      <rPr>
        <b/>
        <sz val="12"/>
        <rFont val="宋体"/>
        <charset val="134"/>
      </rPr>
      <t>（手扶）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工程</t>
    </r>
  </si>
  <si>
    <t>定额编号:3054</t>
  </si>
  <si>
    <t>工作内容： 缝板比0.1</t>
  </si>
  <si>
    <r>
      <rPr>
        <b/>
        <sz val="12"/>
        <rFont val="Times New Roman"/>
        <charset val="134"/>
      </rPr>
      <t xml:space="preserve">                                         </t>
    </r>
    <r>
      <rPr>
        <b/>
        <sz val="12"/>
        <rFont val="宋体"/>
        <charset val="134"/>
      </rPr>
      <t>渠道预制弧形板砌筑</t>
    </r>
    <r>
      <rPr>
        <b/>
        <sz val="12"/>
        <rFont val="Times New Roman"/>
        <charset val="134"/>
      </rPr>
      <t xml:space="preserve">4-8cm C20 </t>
    </r>
    <r>
      <rPr>
        <b/>
        <sz val="12"/>
        <rFont val="宋体"/>
        <charset val="134"/>
      </rPr>
      <t>工程</t>
    </r>
  </si>
  <si>
    <t>工作内容： 缝板比0.11</t>
  </si>
  <si>
    <r>
      <rPr>
        <b/>
        <sz val="12"/>
        <rFont val="Times New Roman"/>
        <charset val="134"/>
      </rPr>
      <t xml:space="preserve">                                                     </t>
    </r>
    <r>
      <rPr>
        <b/>
        <sz val="12"/>
        <rFont val="宋体"/>
        <charset val="134"/>
      </rPr>
      <t>细石混凝土</t>
    </r>
    <r>
      <rPr>
        <b/>
        <sz val="12"/>
        <rFont val="Times New Roman"/>
        <charset val="134"/>
      </rPr>
      <t>C20</t>
    </r>
    <r>
      <rPr>
        <b/>
        <sz val="12"/>
        <rFont val="宋体"/>
        <charset val="134"/>
      </rPr>
      <t>工程</t>
    </r>
  </si>
  <si>
    <t>振捣器  1.1KW</t>
  </si>
  <si>
    <r>
      <rPr>
        <b/>
        <sz val="12"/>
        <rFont val="Times New Roman"/>
        <charset val="134"/>
      </rPr>
      <t xml:space="preserve">                                                     </t>
    </r>
    <r>
      <rPr>
        <b/>
        <sz val="12"/>
        <rFont val="宋体"/>
        <charset val="134"/>
      </rPr>
      <t>细石混凝土</t>
    </r>
    <r>
      <rPr>
        <b/>
        <sz val="12"/>
        <rFont val="Times New Roman"/>
        <charset val="134"/>
      </rPr>
      <t xml:space="preserve">C30 </t>
    </r>
    <r>
      <rPr>
        <b/>
        <sz val="12"/>
        <rFont val="宋体"/>
        <charset val="134"/>
      </rPr>
      <t>抗硫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</si>
  <si>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r>
      <rPr>
        <b/>
        <sz val="12"/>
        <rFont val="Times New Roman"/>
        <charset val="134"/>
      </rPr>
      <t xml:space="preserve">                                              </t>
    </r>
    <r>
      <rPr>
        <b/>
        <sz val="12"/>
        <rFont val="宋体"/>
        <charset val="134"/>
      </rPr>
      <t>预制</t>
    </r>
    <r>
      <rPr>
        <b/>
        <sz val="12"/>
        <rFont val="Times New Roman"/>
        <charset val="134"/>
      </rPr>
      <t xml:space="preserve"> C20</t>
    </r>
    <r>
      <rPr>
        <b/>
        <sz val="12"/>
        <rFont val="宋体"/>
        <charset val="134"/>
      </rPr>
      <t>混凝土道牙工程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</si>
  <si>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:4143</t>
    </r>
  </si>
  <si>
    <r>
      <rPr>
        <b/>
        <sz val="12"/>
        <rFont val="Times New Roman"/>
        <charset val="134"/>
      </rPr>
      <t xml:space="preserve">                                        </t>
    </r>
    <r>
      <rPr>
        <b/>
        <sz val="12"/>
        <rFont val="宋体"/>
        <charset val="134"/>
      </rPr>
      <t>安装混凝土道牙</t>
    </r>
    <r>
      <rPr>
        <b/>
        <sz val="12"/>
        <rFont val="Times New Roman"/>
        <charset val="134"/>
      </rPr>
      <t>C20</t>
    </r>
    <r>
      <rPr>
        <b/>
        <sz val="12"/>
        <rFont val="宋体"/>
        <charset val="134"/>
      </rPr>
      <t>工程</t>
    </r>
  </si>
  <si>
    <t>定额编号:3051</t>
  </si>
  <si>
    <t xml:space="preserve">工作内容： </t>
  </si>
  <si>
    <t>预制构件</t>
  </si>
  <si>
    <t xml:space="preserve"> 运输远</t>
  </si>
  <si>
    <r>
      <rPr>
        <b/>
        <sz val="10"/>
        <rFont val="Times New Roman"/>
        <charset val="134"/>
      </rPr>
      <t xml:space="preserve">                                                               </t>
    </r>
    <r>
      <rPr>
        <b/>
        <sz val="10"/>
        <rFont val="宋体"/>
        <charset val="134"/>
      </rPr>
      <t>水泥砂浆垫层</t>
    </r>
    <r>
      <rPr>
        <b/>
        <sz val="10"/>
        <rFont val="Times New Roman"/>
        <charset val="134"/>
      </rPr>
      <t>50#</t>
    </r>
    <r>
      <rPr>
        <b/>
        <sz val="10"/>
        <rFont val="宋体"/>
        <charset val="134"/>
      </rPr>
      <t>δ</t>
    </r>
    <r>
      <rPr>
        <b/>
        <sz val="10"/>
        <rFont val="Times New Roman"/>
        <charset val="134"/>
      </rPr>
      <t xml:space="preserve">3cm </t>
    </r>
    <r>
      <rPr>
        <b/>
        <sz val="10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</si>
  <si>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:10223</t>
    </r>
  </si>
  <si>
    <t>M5砂浆</t>
  </si>
  <si>
    <t>砂浆搅拌机</t>
  </si>
  <si>
    <t>单   位   估   价   表</t>
  </si>
  <si>
    <t>3：7灰土垫层 工程</t>
  </si>
  <si>
    <t>定额编号:10227</t>
  </si>
  <si>
    <t>白灰</t>
  </si>
  <si>
    <t>土</t>
  </si>
  <si>
    <t>2:8水泥土垫层 工程</t>
  </si>
  <si>
    <t>定额编号:10231</t>
  </si>
  <si>
    <r>
      <rPr>
        <b/>
        <sz val="12"/>
        <rFont val="宋体"/>
        <charset val="134"/>
      </rPr>
      <t>格宾石笼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护坡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</si>
  <si>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:9010</t>
    </r>
  </si>
  <si>
    <t>2*2*0.3</t>
  </si>
  <si>
    <t>狗头石</t>
  </si>
  <si>
    <r>
      <rPr>
        <sz val="9"/>
        <rFont val="Times New Roman"/>
        <charset val="134"/>
      </rPr>
      <t>m</t>
    </r>
    <r>
      <rPr>
        <vertAlign val="superscript"/>
        <sz val="9"/>
        <rFont val="Times New Roman"/>
        <charset val="134"/>
      </rPr>
      <t>3</t>
    </r>
  </si>
  <si>
    <t>格宾</t>
  </si>
  <si>
    <r>
      <rPr>
        <sz val="9"/>
        <rFont val="Times New Roman"/>
        <charset val="134"/>
      </rPr>
      <t>m</t>
    </r>
    <r>
      <rPr>
        <vertAlign val="superscript"/>
        <sz val="9"/>
        <rFont val="Times New Roman"/>
        <charset val="134"/>
      </rPr>
      <t>2</t>
    </r>
  </si>
  <si>
    <r>
      <rPr>
        <sz val="9"/>
        <rFont val="Times New Roman"/>
        <charset val="134"/>
      </rPr>
      <t xml:space="preserve"> </t>
    </r>
    <r>
      <rPr>
        <sz val="9"/>
        <rFont val="文鼎中宋"/>
        <charset val="134"/>
      </rPr>
      <t>胶</t>
    </r>
    <r>
      <rPr>
        <sz val="9"/>
        <rFont val="Times New Roman"/>
        <charset val="134"/>
      </rPr>
      <t xml:space="preserve"> </t>
    </r>
    <r>
      <rPr>
        <sz val="9"/>
        <rFont val="文鼎中宋"/>
        <charset val="134"/>
      </rPr>
      <t>轮</t>
    </r>
    <r>
      <rPr>
        <sz val="9"/>
        <rFont val="Times New Roman"/>
        <charset val="134"/>
      </rPr>
      <t xml:space="preserve"> </t>
    </r>
    <r>
      <rPr>
        <sz val="9"/>
        <rFont val="文鼎中宋"/>
        <charset val="134"/>
      </rPr>
      <t>车</t>
    </r>
  </si>
  <si>
    <t>块石(差)</t>
  </si>
  <si>
    <t>绿色无机涂层锌铝镁绿滨垫 格宾</t>
  </si>
  <si>
    <t>2*2*0.4</t>
  </si>
  <si>
    <r>
      <rPr>
        <b/>
        <sz val="12"/>
        <rFont val="宋体"/>
        <charset val="134"/>
      </rPr>
      <t>格宾石笼</t>
    </r>
    <r>
      <rPr>
        <b/>
        <sz val="12"/>
        <rFont val="Times New Roman"/>
        <charset val="134"/>
      </rPr>
      <t xml:space="preserve"> 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工程</t>
    </r>
  </si>
  <si>
    <t>1.5*2*0.5</t>
  </si>
  <si>
    <t>2.5*2*0.5</t>
  </si>
  <si>
    <t>1.5*1*2</t>
  </si>
  <si>
    <r>
      <rPr>
        <b/>
        <sz val="12"/>
        <rFont val="宋体"/>
        <charset val="134"/>
      </rPr>
      <t>格栅石笼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</si>
  <si>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t>3.5*2*0.5</t>
  </si>
  <si>
    <t>格栅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</si>
  <si>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.5*0.5*2</t>
    </r>
  </si>
  <si>
    <t>2*1*1.2</t>
  </si>
  <si>
    <r>
      <rPr>
        <b/>
        <sz val="12"/>
        <rFont val="Times New Roman"/>
        <charset val="134"/>
      </rPr>
      <t xml:space="preserve">                                                       </t>
    </r>
    <r>
      <rPr>
        <b/>
        <sz val="12"/>
        <rFont val="宋体"/>
        <charset val="134"/>
      </rPr>
      <t>灌注桩混凝土</t>
    </r>
    <r>
      <rPr>
        <b/>
        <sz val="12"/>
        <rFont val="Times New Roman"/>
        <charset val="134"/>
      </rPr>
      <t xml:space="preserve">C30 </t>
    </r>
    <r>
      <rPr>
        <b/>
        <sz val="12"/>
        <rFont val="宋体"/>
        <charset val="134"/>
      </rPr>
      <t>抗硫工程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</si>
  <si>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:6095</t>
    </r>
  </si>
  <si>
    <r>
      <rPr>
        <sz val="10"/>
        <rFont val="宋体"/>
        <charset val="134"/>
      </rPr>
      <t>卷扬机</t>
    </r>
    <r>
      <rPr>
        <sz val="10"/>
        <rFont val="Times New Roman"/>
        <charset val="134"/>
      </rPr>
      <t>5T</t>
    </r>
  </si>
  <si>
    <r>
      <rPr>
        <b/>
        <sz val="12"/>
        <rFont val="Times New Roman"/>
        <charset val="134"/>
      </rPr>
      <t xml:space="preserve">                                          </t>
    </r>
    <r>
      <rPr>
        <b/>
        <sz val="12"/>
        <rFont val="宋体"/>
        <charset val="134"/>
      </rPr>
      <t>灌注桩造孔</t>
    </r>
    <r>
      <rPr>
        <b/>
        <sz val="10"/>
        <rFont val="宋体"/>
        <charset val="134"/>
      </rPr>
      <t>（砂壤土，φ</t>
    </r>
    <r>
      <rPr>
        <b/>
        <sz val="10"/>
        <rFont val="Times New Roman"/>
        <charset val="134"/>
      </rPr>
      <t>=1.0m</t>
    </r>
    <r>
      <rPr>
        <b/>
        <sz val="10"/>
        <rFont val="宋体"/>
        <charset val="134"/>
      </rPr>
      <t>）</t>
    </r>
    <r>
      <rPr>
        <b/>
        <sz val="12"/>
        <rFont val="Times New Roman"/>
        <charset val="134"/>
      </rPr>
      <t xml:space="preserve">   </t>
    </r>
    <r>
      <rPr>
        <b/>
        <sz val="12"/>
        <rFont val="宋体"/>
        <charset val="134"/>
      </rPr>
      <t>工程</t>
    </r>
  </si>
  <si>
    <r>
      <rPr>
        <b/>
        <sz val="12"/>
        <rFont val="Times New Roman"/>
        <charset val="134"/>
      </rPr>
      <t xml:space="preserve">                                          </t>
    </r>
    <r>
      <rPr>
        <b/>
        <sz val="12"/>
        <rFont val="宋体"/>
        <charset val="134"/>
      </rPr>
      <t>灌注桩造孔</t>
    </r>
    <r>
      <rPr>
        <b/>
        <sz val="10"/>
        <rFont val="宋体"/>
        <charset val="134"/>
      </rPr>
      <t>（砂壤土，φ</t>
    </r>
    <r>
      <rPr>
        <b/>
        <sz val="10"/>
        <rFont val="Times New Roman"/>
        <charset val="134"/>
      </rPr>
      <t>=1.2-1.4m</t>
    </r>
    <r>
      <rPr>
        <b/>
        <sz val="10"/>
        <rFont val="宋体"/>
        <charset val="134"/>
      </rPr>
      <t>）</t>
    </r>
    <r>
      <rPr>
        <b/>
        <sz val="12"/>
        <rFont val="Times New Roman"/>
        <charset val="134"/>
      </rPr>
      <t xml:space="preserve"> 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</si>
  <si>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:6088</t>
    </r>
  </si>
  <si>
    <t>钢材</t>
  </si>
  <si>
    <r>
      <rPr>
        <sz val="10"/>
        <rFont val="宋体"/>
        <charset val="134"/>
      </rPr>
      <t>钢板厚</t>
    </r>
    <r>
      <rPr>
        <sz val="10"/>
        <rFont val="Times New Roman"/>
        <charset val="134"/>
      </rPr>
      <t>4mm</t>
    </r>
  </si>
  <si>
    <t>黏土</t>
  </si>
  <si>
    <t>碱粉</t>
  </si>
  <si>
    <r>
      <rPr>
        <sz val="10"/>
        <rFont val="宋体"/>
        <charset val="134"/>
      </rPr>
      <t>冲击钻机</t>
    </r>
    <r>
      <rPr>
        <sz val="10"/>
        <rFont val="Times New Roman"/>
        <charset val="134"/>
      </rPr>
      <t>CZ-22</t>
    </r>
    <r>
      <rPr>
        <sz val="10"/>
        <rFont val="宋体"/>
        <charset val="134"/>
      </rPr>
      <t>型</t>
    </r>
  </si>
  <si>
    <r>
      <rPr>
        <sz val="10"/>
        <rFont val="宋体"/>
        <charset val="134"/>
      </rPr>
      <t>电焊机交流</t>
    </r>
    <r>
      <rPr>
        <sz val="10"/>
        <rFont val="Times New Roman"/>
        <charset val="134"/>
      </rPr>
      <t>30KVA</t>
    </r>
  </si>
  <si>
    <r>
      <rPr>
        <sz val="10"/>
        <rFont val="宋体"/>
        <charset val="134"/>
      </rPr>
      <t>泥浆泵</t>
    </r>
    <r>
      <rPr>
        <sz val="10"/>
        <rFont val="Times New Roman"/>
        <charset val="134"/>
      </rPr>
      <t>3PN</t>
    </r>
  </si>
  <si>
    <t xml:space="preserve">泥浆搅拌机  </t>
  </si>
  <si>
    <r>
      <rPr>
        <sz val="10"/>
        <rFont val="宋体"/>
        <charset val="134"/>
      </rPr>
      <t>汽车起重机</t>
    </r>
    <r>
      <rPr>
        <sz val="10"/>
        <rFont val="Times New Roman"/>
        <charset val="134"/>
      </rPr>
      <t>25T</t>
    </r>
  </si>
  <si>
    <r>
      <rPr>
        <sz val="10"/>
        <rFont val="宋体"/>
        <charset val="134"/>
      </rPr>
      <t>自卸汽车</t>
    </r>
    <r>
      <rPr>
        <sz val="10"/>
        <rFont val="Times New Roman"/>
        <charset val="134"/>
      </rPr>
      <t xml:space="preserve">   3.5T</t>
    </r>
  </si>
  <si>
    <t>编织袋围堰工程</t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</si>
  <si>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:10005</t>
    </r>
  </si>
  <si>
    <t>土料</t>
  </si>
  <si>
    <t>编织袋</t>
  </si>
  <si>
    <t>机械平整</t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</si>
  <si>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:1275</t>
    </r>
  </si>
  <si>
    <r>
      <rPr>
        <sz val="10"/>
        <rFont val="宋体"/>
        <charset val="134"/>
      </rPr>
      <t>推土机7</t>
    </r>
    <r>
      <rPr>
        <sz val="10"/>
        <rFont val="宋体"/>
        <charset val="134"/>
      </rPr>
      <t>4kw</t>
    </r>
  </si>
  <si>
    <t xml:space="preserve">     单   位   估   价   表</t>
  </si>
  <si>
    <t xml:space="preserve">     铺植草砖 工程</t>
  </si>
  <si>
    <t>定额编号:3052</t>
  </si>
  <si>
    <t>空心植草砖250*200*80（市场询含税价）</t>
  </si>
  <si>
    <t>铺植草砖250*200*80（按定额砌筑费）</t>
  </si>
  <si>
    <t>铺空心植草砖</t>
  </si>
  <si>
    <t>广场砖（600*300*60花岗岩）</t>
  </si>
  <si>
    <t>铺广场砖</t>
  </si>
  <si>
    <t>锁链式植草砖</t>
  </si>
  <si>
    <t>铺锁链式植草砖</t>
  </si>
  <si>
    <t>仿石砖（600*300*80）</t>
  </si>
  <si>
    <t>铺仿石砖</t>
  </si>
  <si>
    <t>水泥道砖（300*150*50）</t>
  </si>
  <si>
    <t>铺水泥道砖</t>
  </si>
  <si>
    <r>
      <rPr>
        <b/>
        <sz val="12"/>
        <rFont val="宋体"/>
        <charset val="134"/>
      </rPr>
      <t>栽植带土球乔木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</si>
  <si>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园林定额 2-374</t>
    </r>
  </si>
  <si>
    <r>
      <rPr>
        <sz val="10"/>
        <rFont val="宋体"/>
        <charset val="134"/>
      </rPr>
      <t>定额单位</t>
    </r>
    <r>
      <rPr>
        <sz val="10"/>
        <rFont val="Times New Roman"/>
        <charset val="134"/>
      </rPr>
      <t>:10</t>
    </r>
    <r>
      <rPr>
        <sz val="10"/>
        <rFont val="宋体"/>
        <charset val="134"/>
      </rPr>
      <t>株</t>
    </r>
  </si>
  <si>
    <t>胸径  4cm  地径 6cm</t>
  </si>
  <si>
    <t>乔木</t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</si>
  <si>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园林定额 2-375</t>
    </r>
  </si>
  <si>
    <t>胸径  6cm  地径 8cm</t>
  </si>
  <si>
    <r>
      <rPr>
        <b/>
        <sz val="12"/>
        <rFont val="宋体"/>
        <charset val="134"/>
      </rPr>
      <t>栽植单株带土球灌木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</si>
  <si>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园林定额 2-414</t>
    </r>
  </si>
  <si>
    <t>冠径 80cm</t>
  </si>
  <si>
    <t>灌木</t>
  </si>
  <si>
    <r>
      <rPr>
        <b/>
        <sz val="12"/>
        <rFont val="宋体"/>
        <charset val="134"/>
      </rPr>
      <t>栽植单株裸根灌木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</si>
  <si>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t>定额编号:园林定额 2-425</t>
  </si>
  <si>
    <t>定额编号:园林定额 2-424</t>
  </si>
  <si>
    <t>冠径 60cm</t>
  </si>
  <si>
    <r>
      <rPr>
        <b/>
        <sz val="12"/>
        <rFont val="宋体"/>
        <charset val="134"/>
      </rPr>
      <t>栽植露地花卉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</si>
  <si>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定额编号:园林定额 2-49</t>
    </r>
    <r>
      <rPr>
        <sz val="10"/>
        <rFont val="宋体"/>
        <charset val="134"/>
      </rPr>
      <t>7</t>
    </r>
  </si>
  <si>
    <t>花苗</t>
  </si>
  <si>
    <r>
      <rPr>
        <b/>
        <sz val="12"/>
        <rFont val="宋体"/>
        <charset val="134"/>
      </rPr>
      <t>栽植挺水植物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</si>
  <si>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t>定额编号:园林定额 2-522</t>
  </si>
  <si>
    <r>
      <rPr>
        <sz val="10"/>
        <rFont val="宋体"/>
        <charset val="134"/>
      </rPr>
      <t>定额单位</t>
    </r>
    <r>
      <rPr>
        <sz val="10"/>
        <rFont val="Times New Roman"/>
        <charset val="134"/>
      </rPr>
      <t>:10</t>
    </r>
    <r>
      <rPr>
        <sz val="10"/>
        <rFont val="宋体"/>
        <charset val="134"/>
      </rPr>
      <t>丛</t>
    </r>
  </si>
  <si>
    <r>
      <rPr>
        <sz val="10"/>
        <rFont val="宋体"/>
        <charset val="134"/>
      </rPr>
      <t>定额编号:园林定额 2-52</t>
    </r>
    <r>
      <rPr>
        <sz val="10"/>
        <rFont val="宋体"/>
        <charset val="134"/>
      </rPr>
      <t>7</t>
    </r>
  </si>
  <si>
    <t>定额编号:园林定额 2-508</t>
  </si>
  <si>
    <t>挺水植物</t>
  </si>
  <si>
    <t>丛</t>
  </si>
  <si>
    <r>
      <rPr>
        <b/>
        <sz val="12"/>
        <rFont val="宋体"/>
        <charset val="134"/>
      </rPr>
      <t>落叶乔木养护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</si>
  <si>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t>定额编号:园林定额 2-579</t>
  </si>
  <si>
    <r>
      <rPr>
        <sz val="10"/>
        <rFont val="宋体"/>
        <charset val="134"/>
      </rPr>
      <t>定额单位</t>
    </r>
    <r>
      <rPr>
        <sz val="10"/>
        <rFont val="Times New Roman"/>
        <charset val="134"/>
      </rPr>
      <t>:10</t>
    </r>
    <r>
      <rPr>
        <sz val="10"/>
        <rFont val="宋体"/>
        <charset val="134"/>
      </rPr>
      <t>株/月</t>
    </r>
  </si>
  <si>
    <t>肥料</t>
  </si>
  <si>
    <t>药剂</t>
  </si>
  <si>
    <t>喷药杀虫车 1.5t</t>
  </si>
  <si>
    <r>
      <rPr>
        <b/>
        <sz val="12"/>
        <rFont val="宋体"/>
        <charset val="134"/>
      </rPr>
      <t>常绿乔木养护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</si>
  <si>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t>定额编号:园林定额 2-569</t>
  </si>
  <si>
    <t>定额单位:10株/月</t>
  </si>
  <si>
    <r>
      <rPr>
        <b/>
        <sz val="12"/>
        <rFont val="宋体"/>
        <charset val="134"/>
      </rPr>
      <t>单株落叶灌木养护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</si>
  <si>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t>定额编号:园林定额 2-598</t>
  </si>
  <si>
    <t>冠径  50cm</t>
  </si>
  <si>
    <r>
      <rPr>
        <b/>
        <sz val="12"/>
        <rFont val="宋体"/>
        <charset val="134"/>
      </rPr>
      <t>落地花卉养护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</si>
  <si>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r>
      <rPr>
        <sz val="10"/>
        <rFont val="宋体"/>
        <charset val="134"/>
      </rPr>
      <t>定额编号:园林定额 2-63</t>
    </r>
    <r>
      <rPr>
        <sz val="10"/>
        <rFont val="宋体"/>
        <charset val="134"/>
      </rPr>
      <t>8</t>
    </r>
  </si>
  <si>
    <t>定额单位:100m2/月</t>
  </si>
  <si>
    <r>
      <rPr>
        <b/>
        <sz val="12"/>
        <rFont val="宋体"/>
        <charset val="134"/>
      </rPr>
      <t>水生植物养护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</si>
  <si>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t>定额编号:园林定额 2-635</t>
  </si>
  <si>
    <r>
      <rPr>
        <b/>
        <sz val="12"/>
        <rFont val="宋体"/>
        <charset val="134"/>
      </rPr>
      <t>播种草籽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</si>
  <si>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t>定额编号:园林定额 2-568</t>
  </si>
  <si>
    <t>无纺布</t>
  </si>
  <si>
    <t>草籽</t>
  </si>
  <si>
    <t>芦苇+拂子茅+香蒲+千屈菜+碱蓬+芨芨草 草籽</t>
  </si>
  <si>
    <r>
      <rPr>
        <b/>
        <sz val="12"/>
        <rFont val="宋体"/>
        <charset val="134"/>
      </rPr>
      <t>播种草籽养护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</si>
  <si>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t>定额编号:园林定额 2-646</t>
  </si>
  <si>
    <r>
      <rPr>
        <b/>
        <sz val="12"/>
        <rFont val="宋体"/>
        <charset val="134"/>
      </rPr>
      <t>石质边坡客土喷播（草籽）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</si>
  <si>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r>
      <rPr>
        <b/>
        <sz val="12"/>
        <rFont val="宋体"/>
        <charset val="134"/>
      </rPr>
      <t>石质边坡客土喷播（芦苇籽）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</si>
  <si>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r>
      <rPr>
        <b/>
        <sz val="12"/>
        <rFont val="宋体"/>
        <charset val="134"/>
      </rPr>
      <t>土质边坡客土喷播（草籽）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</si>
  <si>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r>
      <rPr>
        <b/>
        <sz val="12"/>
        <rFont val="宋体"/>
        <charset val="134"/>
      </rPr>
      <t>土质边坡客土喷播（芦苇籽）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工程</t>
    </r>
  </si>
  <si>
    <t>定额编号:园林定额 7-5</t>
  </si>
  <si>
    <r>
      <rPr>
        <sz val="10"/>
        <rFont val="宋体"/>
        <charset val="134"/>
      </rPr>
      <t>定额编号:园林定额 7-</t>
    </r>
    <r>
      <rPr>
        <sz val="10"/>
        <rFont val="宋体"/>
        <charset val="134"/>
      </rPr>
      <t>2</t>
    </r>
  </si>
  <si>
    <t>保水剂</t>
  </si>
  <si>
    <t>土壤改良剂</t>
  </si>
  <si>
    <t>粘结剂</t>
  </si>
  <si>
    <t>芦苇草籽</t>
  </si>
  <si>
    <t>草泥炭</t>
  </si>
  <si>
    <t>木纤维</t>
  </si>
  <si>
    <t>种植土</t>
  </si>
  <si>
    <t>元</t>
  </si>
  <si>
    <t>喷播机</t>
  </si>
  <si>
    <t>台班</t>
  </si>
  <si>
    <t xml:space="preserve">                                    单   位   估   价   表</t>
  </si>
  <si>
    <t>定额编号:10005</t>
  </si>
  <si>
    <r>
      <rPr>
        <sz val="10"/>
        <rFont val="宋体"/>
        <charset val="134"/>
        <scheme val="minor"/>
      </rPr>
      <t>定额单位:100m</t>
    </r>
    <r>
      <rPr>
        <vertAlign val="superscript"/>
        <sz val="10"/>
        <rFont val="宋体"/>
        <charset val="134"/>
        <scheme val="minor"/>
      </rPr>
      <t>3</t>
    </r>
  </si>
  <si>
    <t xml:space="preserve">               PVC-U管材价格表</t>
  </si>
  <si>
    <t xml:space="preserve">                                              PVC-U管材重量表   </t>
  </si>
  <si>
    <t>单位：kg/m</t>
  </si>
  <si>
    <t>单价:</t>
  </si>
  <si>
    <t>元/t</t>
  </si>
  <si>
    <t>单位:元/km</t>
  </si>
  <si>
    <t>单位:元/m</t>
  </si>
  <si>
    <r>
      <rPr>
        <b/>
        <sz val="11"/>
        <rFont val="宋体"/>
        <charset val="134"/>
      </rPr>
      <t>公称外径</t>
    </r>
    <r>
      <rPr>
        <b/>
        <sz val="11"/>
        <rFont val="Times New Roman"/>
        <charset val="134"/>
      </rPr>
      <t>(dn)</t>
    </r>
  </si>
  <si>
    <r>
      <rPr>
        <b/>
        <sz val="11"/>
        <rFont val="宋体"/>
        <charset val="134"/>
      </rPr>
      <t>公</t>
    </r>
    <r>
      <rPr>
        <b/>
        <sz val="11"/>
        <rFont val="Times New Roman"/>
        <charset val="134"/>
      </rPr>
      <t xml:space="preserve">        </t>
    </r>
    <r>
      <rPr>
        <b/>
        <sz val="11"/>
        <rFont val="宋体"/>
        <charset val="134"/>
      </rPr>
      <t>称</t>
    </r>
    <r>
      <rPr>
        <b/>
        <sz val="11"/>
        <rFont val="Times New Roman"/>
        <charset val="134"/>
      </rPr>
      <t xml:space="preserve">    </t>
    </r>
    <r>
      <rPr>
        <b/>
        <sz val="11"/>
        <rFont val="宋体"/>
        <charset val="134"/>
      </rPr>
      <t>压</t>
    </r>
    <r>
      <rPr>
        <b/>
        <sz val="11"/>
        <rFont val="Times New Roman"/>
        <charset val="134"/>
      </rPr>
      <t xml:space="preserve">       </t>
    </r>
    <r>
      <rPr>
        <b/>
        <sz val="11"/>
        <rFont val="宋体"/>
        <charset val="134"/>
      </rPr>
      <t>力</t>
    </r>
  </si>
  <si>
    <t>公 称外径(dn)</t>
  </si>
  <si>
    <t>公        称    压       力</t>
  </si>
  <si>
    <t>0.32Mpa</t>
  </si>
  <si>
    <t>0.63Mpa</t>
  </si>
  <si>
    <t>0.8 Mpa</t>
  </si>
  <si>
    <t>1.0 Mpa</t>
  </si>
  <si>
    <t>1.25Mpa</t>
  </si>
  <si>
    <t>1.6 Mpa</t>
  </si>
  <si>
    <t>2.0 Mpa</t>
  </si>
  <si>
    <t>2.5 Mpa</t>
  </si>
  <si>
    <t>￠20</t>
  </si>
  <si>
    <t>￠25</t>
  </si>
  <si>
    <t>￠32</t>
  </si>
  <si>
    <t>￠40</t>
  </si>
  <si>
    <t>￠50</t>
  </si>
  <si>
    <t>￠63</t>
  </si>
  <si>
    <t>￠75</t>
  </si>
  <si>
    <t>￠90</t>
  </si>
  <si>
    <t>￠110</t>
  </si>
  <si>
    <t>￠125</t>
  </si>
  <si>
    <t>￠140</t>
  </si>
  <si>
    <t>￠160</t>
  </si>
  <si>
    <t>￠180</t>
  </si>
  <si>
    <t>￠200</t>
  </si>
  <si>
    <t>￠225</t>
  </si>
  <si>
    <t>￠250</t>
  </si>
  <si>
    <t>￠280</t>
  </si>
  <si>
    <t>￠315</t>
  </si>
  <si>
    <t>￠355</t>
  </si>
  <si>
    <t>￠400</t>
  </si>
  <si>
    <t>￠450</t>
  </si>
  <si>
    <t>￠500</t>
  </si>
  <si>
    <t xml:space="preserve">              给水 PE管材价格表</t>
  </si>
  <si>
    <t xml:space="preserve">                                             给水 PE管材重量表   </t>
  </si>
  <si>
    <t>0.6Mpa</t>
  </si>
  <si>
    <t>施工机械台时计算表</t>
  </si>
  <si>
    <r>
      <rPr>
        <sz val="10"/>
        <rFont val="宋体"/>
        <charset val="134"/>
      </rPr>
      <t>序</t>
    </r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号</t>
    </r>
  </si>
  <si>
    <t>机械名称</t>
  </si>
  <si>
    <t>挖掘机</t>
  </si>
  <si>
    <t>推土机</t>
  </si>
  <si>
    <t>拖拉机</t>
  </si>
  <si>
    <r>
      <rPr>
        <sz val="10"/>
        <rFont val="宋体"/>
        <charset val="134"/>
      </rPr>
      <t>规</t>
    </r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格</t>
    </r>
  </si>
  <si>
    <r>
      <rPr>
        <sz val="10"/>
        <rFont val="宋体"/>
        <charset val="134"/>
      </rPr>
      <t>1m</t>
    </r>
    <r>
      <rPr>
        <vertAlign val="superscript"/>
        <sz val="10"/>
        <rFont val="宋体"/>
        <charset val="134"/>
      </rPr>
      <t>3</t>
    </r>
  </si>
  <si>
    <t>59kw</t>
  </si>
  <si>
    <t>74kw</t>
  </si>
  <si>
    <t>2.8kw</t>
  </si>
  <si>
    <t>依据定额名称</t>
  </si>
  <si>
    <r>
      <rPr>
        <sz val="10"/>
        <rFont val="宋体"/>
        <charset val="134"/>
      </rPr>
      <t>Ⅰ类</t>
    </r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费用</t>
    </r>
  </si>
  <si>
    <t>折旧费</t>
  </si>
  <si>
    <t>修理及替换设备费</t>
  </si>
  <si>
    <t>安装拆卸费</t>
  </si>
  <si>
    <t>Ⅱ类费用</t>
  </si>
  <si>
    <t>人工:</t>
  </si>
  <si>
    <t>元/工时</t>
  </si>
  <si>
    <t>汽油:</t>
  </si>
  <si>
    <t>元/kg</t>
  </si>
  <si>
    <t>柴油:</t>
  </si>
  <si>
    <t>电：</t>
  </si>
  <si>
    <t>元/kw.h</t>
  </si>
  <si>
    <t>风：</t>
  </si>
  <si>
    <t>元/m3</t>
  </si>
  <si>
    <t>水：</t>
  </si>
  <si>
    <t>煤</t>
  </si>
  <si>
    <t>合计    元/台时</t>
  </si>
  <si>
    <t>胶轮架子车</t>
  </si>
  <si>
    <t>搅拌机</t>
  </si>
  <si>
    <t>混凝土吊罐</t>
  </si>
  <si>
    <t>振捣器</t>
  </si>
  <si>
    <t>载重汽车</t>
  </si>
  <si>
    <t>规格</t>
  </si>
  <si>
    <t>0.4m3</t>
  </si>
  <si>
    <t>1m3</t>
  </si>
  <si>
    <r>
      <rPr>
        <sz val="10"/>
        <rFont val="宋体"/>
        <charset val="134"/>
      </rPr>
      <t>插入式</t>
    </r>
    <r>
      <rPr>
        <sz val="10"/>
        <rFont val="Times New Roman"/>
        <charset val="134"/>
      </rPr>
      <t>1.1kw</t>
    </r>
  </si>
  <si>
    <t>5t</t>
  </si>
  <si>
    <t>Ⅰ类费用</t>
  </si>
  <si>
    <t>电</t>
  </si>
  <si>
    <t>风</t>
  </si>
  <si>
    <t>自卸汽车</t>
  </si>
  <si>
    <t>门座式起重机</t>
  </si>
  <si>
    <t>塔式起重机</t>
  </si>
  <si>
    <t>履带式起重机</t>
  </si>
  <si>
    <t>卷扬机</t>
  </si>
  <si>
    <t>10t</t>
  </si>
  <si>
    <t>10/30t</t>
  </si>
  <si>
    <t>电焊机</t>
  </si>
  <si>
    <t>汽车起重机</t>
  </si>
  <si>
    <t>离心水泵</t>
  </si>
  <si>
    <t>羊角碾</t>
  </si>
  <si>
    <t>平板式</t>
  </si>
  <si>
    <t>直流30kw</t>
  </si>
  <si>
    <t>交流25kw</t>
  </si>
  <si>
    <t>17kw</t>
  </si>
  <si>
    <t>5~7t</t>
  </si>
  <si>
    <t>内燃压路机</t>
  </si>
  <si>
    <t>电动葫芦</t>
  </si>
  <si>
    <r>
      <rPr>
        <sz val="10"/>
        <rFont val="Times New Roman"/>
        <charset val="134"/>
      </rPr>
      <t>V</t>
    </r>
    <r>
      <rPr>
        <sz val="10"/>
        <rFont val="宋体"/>
        <charset val="134"/>
      </rPr>
      <t>型斗车</t>
    </r>
  </si>
  <si>
    <t>轴流通风机</t>
  </si>
  <si>
    <t>11kw</t>
  </si>
  <si>
    <t>12-15t</t>
  </si>
  <si>
    <t>3t</t>
  </si>
  <si>
    <t>0.6m3</t>
  </si>
  <si>
    <t>6t</t>
  </si>
  <si>
    <t>7.5kw</t>
  </si>
  <si>
    <t>振动碾</t>
  </si>
  <si>
    <t>风钻</t>
  </si>
  <si>
    <t>灰浆搅拌机</t>
  </si>
  <si>
    <t>灌浆泵</t>
  </si>
  <si>
    <t>车床</t>
  </si>
  <si>
    <t>双面刨床</t>
  </si>
  <si>
    <t>13-14t</t>
  </si>
  <si>
    <t>手持式</t>
  </si>
  <si>
    <t>中压</t>
  </si>
  <si>
    <t>250-400</t>
  </si>
  <si>
    <t>剪板机</t>
  </si>
  <si>
    <t>型钢剪断机</t>
  </si>
  <si>
    <t>圆盘锯</t>
  </si>
  <si>
    <t>冲击钻机</t>
  </si>
  <si>
    <t>13kw</t>
  </si>
  <si>
    <t>CZ-22</t>
  </si>
  <si>
    <r>
      <rPr>
        <sz val="10"/>
        <rFont val="宋体"/>
        <charset val="134"/>
      </rPr>
      <t>变频</t>
    </r>
    <r>
      <rPr>
        <sz val="10"/>
        <rFont val="Times New Roman"/>
        <charset val="134"/>
      </rPr>
      <t>8.5kw</t>
    </r>
  </si>
  <si>
    <t>55kw</t>
  </si>
  <si>
    <t>对焊机</t>
  </si>
  <si>
    <t>钢筋弯曲机</t>
  </si>
  <si>
    <t>钢筋切断机</t>
  </si>
  <si>
    <t>钢筋调直机</t>
  </si>
  <si>
    <t>5~10kw</t>
  </si>
  <si>
    <r>
      <rPr>
        <sz val="10"/>
        <rFont val="Times New Roman"/>
        <charset val="134"/>
      </rPr>
      <t>150</t>
    </r>
    <r>
      <rPr>
        <sz val="10"/>
        <rFont val="宋体"/>
        <charset val="134"/>
      </rPr>
      <t>型</t>
    </r>
  </si>
  <si>
    <t>20kw</t>
  </si>
  <si>
    <t>4-14kw</t>
  </si>
  <si>
    <t>25t</t>
  </si>
  <si>
    <t>3.5t</t>
  </si>
  <si>
    <t>16t</t>
  </si>
  <si>
    <r>
      <rPr>
        <sz val="10"/>
        <rFont val="Times New Roman"/>
        <charset val="134"/>
      </rPr>
      <t>8</t>
    </r>
    <r>
      <rPr>
        <sz val="10"/>
        <rFont val="宋体"/>
        <charset val="134"/>
      </rPr>
      <t>t</t>
    </r>
  </si>
  <si>
    <r>
      <rPr>
        <sz val="10"/>
        <rFont val="宋体"/>
        <charset val="134"/>
      </rPr>
      <t>插入式1.5</t>
    </r>
    <r>
      <rPr>
        <sz val="10"/>
        <rFont val="Times New Roman"/>
        <charset val="134"/>
      </rPr>
      <t>kw</t>
    </r>
  </si>
  <si>
    <t>泥浆搅拌机</t>
  </si>
  <si>
    <t>泥浆泵</t>
  </si>
  <si>
    <t>小型带锯</t>
  </si>
  <si>
    <t>轮胎碾</t>
  </si>
  <si>
    <t>1t</t>
  </si>
  <si>
    <t>9-16t</t>
  </si>
  <si>
    <t>叉式起重机</t>
  </si>
  <si>
    <t>变频机组</t>
  </si>
  <si>
    <t>简易缆索起重机</t>
  </si>
  <si>
    <t>装载机</t>
  </si>
  <si>
    <t>手扶拖拉机</t>
  </si>
  <si>
    <t>1-2t</t>
  </si>
  <si>
    <t>4.5kvA</t>
  </si>
  <si>
    <t xml:space="preserve">   40t</t>
  </si>
  <si>
    <t>14kw</t>
  </si>
  <si>
    <t>机动翻斗车</t>
  </si>
  <si>
    <t>吊斗</t>
  </si>
  <si>
    <t>混凝土泵</t>
  </si>
  <si>
    <t>强制式搅拌机</t>
  </si>
  <si>
    <t>8.5kvA</t>
  </si>
  <si>
    <t>30m3/h</t>
  </si>
  <si>
    <t>0.35m3</t>
  </si>
  <si>
    <t xml:space="preserve">链式起重机  </t>
  </si>
  <si>
    <r>
      <rPr>
        <sz val="10"/>
        <rFont val="Times New Roman"/>
        <charset val="134"/>
      </rPr>
      <t>4</t>
    </r>
    <r>
      <rPr>
        <sz val="10"/>
        <rFont val="宋体"/>
        <charset val="134"/>
      </rPr>
      <t>0t</t>
    </r>
  </si>
  <si>
    <t>20t</t>
  </si>
  <si>
    <r>
      <rPr>
        <sz val="10"/>
        <rFont val="Times New Roman"/>
        <charset val="134"/>
      </rPr>
      <t>8~12</t>
    </r>
    <r>
      <rPr>
        <sz val="10"/>
        <rFont val="宋体"/>
        <charset val="134"/>
      </rPr>
      <t>t</t>
    </r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</si>
  <si>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0t</t>
    </r>
  </si>
  <si>
    <t>88kw</t>
  </si>
  <si>
    <t>5.0t</t>
  </si>
  <si>
    <t>潜水泵</t>
  </si>
  <si>
    <t xml:space="preserve">强夯机   </t>
  </si>
  <si>
    <t>风镐</t>
  </si>
  <si>
    <t xml:space="preserve">震动打桩机   </t>
  </si>
  <si>
    <t>7kw</t>
  </si>
  <si>
    <t>200tm</t>
  </si>
  <si>
    <t>40t</t>
  </si>
  <si>
    <t>混凝土及砂浆配合比计算表(2009新定额)</t>
  </si>
  <si>
    <t>调    差</t>
  </si>
  <si>
    <t>混凝土或砂浆标号</t>
  </si>
  <si>
    <t>水泥标号</t>
  </si>
  <si>
    <t>混凝土级配</t>
  </si>
  <si>
    <t>差价</t>
  </si>
  <si>
    <t>定额</t>
  </si>
  <si>
    <t>C10混凝土</t>
  </si>
  <si>
    <t>C15混凝土</t>
  </si>
  <si>
    <t>C20混凝土</t>
  </si>
  <si>
    <t>C25混凝土</t>
  </si>
  <si>
    <t>C30混凝土</t>
  </si>
  <si>
    <r>
      <rPr>
        <sz val="10"/>
        <rFont val="宋体"/>
        <charset val="134"/>
      </rPr>
      <t>C</t>
    </r>
    <r>
      <rPr>
        <sz val="10"/>
        <rFont val="宋体"/>
        <charset val="134"/>
      </rPr>
      <t>40</t>
    </r>
    <r>
      <rPr>
        <sz val="10"/>
        <rFont val="宋体"/>
        <charset val="134"/>
      </rPr>
      <t>混凝土</t>
    </r>
  </si>
  <si>
    <t>M7.5砂浆</t>
  </si>
  <si>
    <t>M10砂浆</t>
  </si>
  <si>
    <t>材料预算价格计算表</t>
  </si>
  <si>
    <t>2022年第四季度第六册</t>
  </si>
  <si>
    <t>平罗</t>
  </si>
  <si>
    <t>材料名称</t>
  </si>
  <si>
    <t>产地</t>
  </si>
  <si>
    <t>产地价</t>
  </si>
  <si>
    <t>运输工具</t>
  </si>
  <si>
    <t>运距</t>
  </si>
  <si>
    <t>运输单价</t>
  </si>
  <si>
    <t>运费</t>
  </si>
  <si>
    <t>装卸费</t>
  </si>
  <si>
    <t>采管费</t>
  </si>
  <si>
    <t>预算价格</t>
  </si>
  <si>
    <t>定值</t>
  </si>
  <si>
    <t>大武口</t>
  </si>
  <si>
    <t>汽车</t>
  </si>
  <si>
    <t>水泥42.5</t>
  </si>
  <si>
    <t>大武口工业园区</t>
  </si>
  <si>
    <t>银川赛马水泥</t>
  </si>
  <si>
    <t>砂子（水洗砂）</t>
  </si>
  <si>
    <t>惠农区小干沟</t>
  </si>
  <si>
    <t>拉僧庙</t>
  </si>
  <si>
    <t>木材</t>
  </si>
  <si>
    <t>当地</t>
  </si>
  <si>
    <t>惠农区干沟</t>
  </si>
  <si>
    <t>拉运土方</t>
  </si>
  <si>
    <t>拆除石渣运输</t>
  </si>
  <si>
    <t>绿色无机涂层锌铝镁绿滨垫 护坡 80*100</t>
  </si>
  <si>
    <t>绿色无机涂层锌铝镁固滨 护脚、基础 100*120</t>
  </si>
  <si>
    <t>聚丙稀双向拉伸 40-40</t>
  </si>
  <si>
    <t>材料量汇总表</t>
  </si>
  <si>
    <t xml:space="preserve">kg </t>
  </si>
  <si>
    <t>工程量汇总表</t>
  </si>
  <si>
    <r>
      <rPr>
        <sz val="10"/>
        <rFont val="宋体"/>
        <charset val="134"/>
      </rPr>
      <t>Ｃ2</t>
    </r>
    <r>
      <rPr>
        <sz val="10"/>
        <rFont val="宋体"/>
        <charset val="134"/>
      </rPr>
      <t>0</t>
    </r>
    <r>
      <rPr>
        <sz val="10"/>
        <rFont val="宋体"/>
        <charset val="134"/>
      </rPr>
      <t>混凝土</t>
    </r>
  </si>
  <si>
    <t>Ｃ30混凝土</t>
  </si>
  <si>
    <t>Ｃ25混凝土</t>
  </si>
  <si>
    <t>浆砌石</t>
  </si>
  <si>
    <t>河卵石护坡</t>
  </si>
  <si>
    <t>施工用电</t>
  </si>
  <si>
    <t>kwh</t>
  </si>
  <si>
    <t>格宾石笼</t>
  </si>
  <si>
    <t>格栅石笼</t>
  </si>
  <si>
    <t>干茬石挤密</t>
  </si>
  <si>
    <t>清基土方</t>
  </si>
  <si>
    <t>沟道土方开挖</t>
  </si>
  <si>
    <t>沟道土方回填</t>
  </si>
  <si>
    <t>建筑物土方开挖</t>
  </si>
  <si>
    <t>建筑物土方回填</t>
  </si>
  <si>
    <t>土工布250g</t>
  </si>
  <si>
    <t>抗硫</t>
  </si>
  <si>
    <t>工日</t>
  </si>
  <si>
    <t>推土机59kw</t>
  </si>
  <si>
    <t>自卸汽车8t</t>
  </si>
  <si>
    <t>砼搅拌机</t>
  </si>
  <si>
    <t>拖拉机11kw</t>
  </si>
  <si>
    <t>名称</t>
  </si>
  <si>
    <t>Ｃ30砼</t>
  </si>
  <si>
    <t>Ｃ30砼抗硫</t>
  </si>
  <si>
    <t>Ｃ25砼</t>
  </si>
  <si>
    <t>Ｃ25砼  抗硫</t>
  </si>
  <si>
    <t>Ｃ20砼</t>
  </si>
  <si>
    <r>
      <rPr>
        <sz val="10"/>
        <rFont val="宋体"/>
        <charset val="134"/>
      </rPr>
      <t>Ｃ1</t>
    </r>
    <r>
      <rPr>
        <sz val="10"/>
        <rFont val="宋体"/>
        <charset val="134"/>
      </rPr>
      <t>5</t>
    </r>
    <r>
      <rPr>
        <sz val="10"/>
        <rFont val="宋体"/>
        <charset val="134"/>
      </rPr>
      <t>砼  抗硫</t>
    </r>
  </si>
  <si>
    <t>预制Ｃ20砼</t>
  </si>
  <si>
    <t>现浇C15砼板</t>
  </si>
  <si>
    <t>格宾、格栅</t>
  </si>
  <si>
    <t>渠道挖方</t>
  </si>
  <si>
    <t>挖冻土</t>
  </si>
  <si>
    <t>原土夯实</t>
  </si>
  <si>
    <t>2：8水泥土</t>
  </si>
  <si>
    <t>清基土方(9.92)</t>
  </si>
  <si>
    <t>土方拉运（3km)</t>
  </si>
  <si>
    <t>土方拉运（5km)</t>
  </si>
  <si>
    <t>余土外运（1km)</t>
  </si>
  <si>
    <t>防洪挖方</t>
  </si>
  <si>
    <t>挖掘机挖土</t>
  </si>
  <si>
    <t>挖掘机挖土汽车运1km（8.15）</t>
  </si>
  <si>
    <t>泥结石路面（单侧）</t>
  </si>
  <si>
    <t xml:space="preserve">     具体取费标准如下表：</t>
  </si>
  <si>
    <t xml:space="preserve">                  中 型 取 费 表（高值）</t>
  </si>
  <si>
    <r>
      <rPr>
        <sz val="10"/>
        <rFont val="宋体"/>
        <charset val="134"/>
      </rPr>
      <t>名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称</t>
    </r>
  </si>
  <si>
    <t>其他直接费</t>
  </si>
  <si>
    <t>利润</t>
  </si>
  <si>
    <r>
      <rPr>
        <sz val="10"/>
        <rFont val="宋体"/>
        <charset val="134"/>
      </rPr>
      <t>税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金</t>
    </r>
  </si>
  <si>
    <t>扩大系数</t>
  </si>
  <si>
    <t>土方工程</t>
  </si>
  <si>
    <t>石方工程</t>
  </si>
  <si>
    <t>砌石工程</t>
  </si>
  <si>
    <t>混凝土工程</t>
  </si>
  <si>
    <t>钢筋工程</t>
  </si>
  <si>
    <t>钻孔灌浆及锚固工程</t>
  </si>
  <si>
    <t>疏浚工程</t>
  </si>
  <si>
    <t>机电金结设备安装工程</t>
  </si>
  <si>
    <t>其他工程</t>
  </si>
  <si>
    <r>
      <rPr>
        <b/>
        <sz val="14"/>
        <rFont val="宋体"/>
        <charset val="134"/>
      </rPr>
      <t xml:space="preserve"> </t>
    </r>
    <r>
      <rPr>
        <b/>
        <sz val="16"/>
        <rFont val="宋体"/>
        <charset val="134"/>
      </rPr>
      <t xml:space="preserve">               </t>
    </r>
    <r>
      <rPr>
        <b/>
        <sz val="18"/>
        <rFont val="宋体"/>
        <charset val="134"/>
      </rPr>
      <t>基础材料单价表</t>
    </r>
  </si>
  <si>
    <r>
      <rPr>
        <b/>
        <sz val="14"/>
        <rFont val="宋体"/>
        <charset val="134"/>
      </rPr>
      <t xml:space="preserve"> </t>
    </r>
    <r>
      <rPr>
        <b/>
        <sz val="16"/>
        <rFont val="宋体"/>
        <charset val="134"/>
      </rPr>
      <t xml:space="preserve">          </t>
    </r>
    <r>
      <rPr>
        <b/>
        <sz val="18"/>
        <rFont val="宋体"/>
        <charset val="134"/>
      </rPr>
      <t>基础材料单价表</t>
    </r>
  </si>
  <si>
    <t>电雷管</t>
  </si>
  <si>
    <r>
      <rPr>
        <sz val="9"/>
        <rFont val="宋体"/>
        <charset val="134"/>
      </rPr>
      <t>钢板厚</t>
    </r>
    <r>
      <rPr>
        <sz val="9"/>
        <rFont val="Times New Roman"/>
        <charset val="134"/>
      </rPr>
      <t>4mm</t>
    </r>
  </si>
  <si>
    <t>钢管</t>
  </si>
  <si>
    <t>只</t>
  </si>
  <si>
    <t>滑模</t>
  </si>
  <si>
    <t>环氧砂浆</t>
  </si>
  <si>
    <r>
      <rPr>
        <sz val="9"/>
        <rFont val="宋体"/>
        <charset val="134"/>
      </rPr>
      <t>m</t>
    </r>
    <r>
      <rPr>
        <vertAlign val="superscript"/>
        <sz val="9"/>
        <rFont val="宋体"/>
        <charset val="134"/>
      </rPr>
      <t>3</t>
    </r>
  </si>
  <si>
    <t>ｋｇ</t>
  </si>
  <si>
    <t>砾（碎〕石</t>
  </si>
  <si>
    <r>
      <rPr>
        <sz val="10"/>
        <rFont val="文鼎中宋"/>
        <charset val="134"/>
      </rPr>
      <t>ｍ</t>
    </r>
    <r>
      <rPr>
        <vertAlign val="superscript"/>
        <sz val="10"/>
        <rFont val="文鼎中宋"/>
        <charset val="134"/>
      </rPr>
      <t>３</t>
    </r>
  </si>
  <si>
    <r>
      <rPr>
        <sz val="9"/>
        <rFont val="文鼎中宋"/>
        <charset val="134"/>
      </rPr>
      <t>ｍ</t>
    </r>
    <r>
      <rPr>
        <vertAlign val="superscript"/>
        <sz val="9"/>
        <rFont val="文鼎中宋"/>
        <charset val="134"/>
      </rPr>
      <t>３</t>
    </r>
  </si>
  <si>
    <t>麻布</t>
  </si>
  <si>
    <t>铁垫块</t>
  </si>
  <si>
    <t>塑料带止水</t>
  </si>
  <si>
    <t>油毛毡</t>
  </si>
  <si>
    <t>专用组合钢模</t>
  </si>
  <si>
    <t>灌浆管</t>
  </si>
  <si>
    <r>
      <rPr>
        <sz val="10"/>
        <rFont val="宋体"/>
        <charset val="134"/>
      </rPr>
      <t>钢筋砼管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φ</t>
    </r>
    <r>
      <rPr>
        <sz val="10"/>
        <rFont val="Times New Roman"/>
        <charset val="134"/>
      </rPr>
      <t>=1.6m</t>
    </r>
  </si>
  <si>
    <r>
      <rPr>
        <sz val="10"/>
        <rFont val="宋体"/>
        <charset val="134"/>
      </rPr>
      <t>铅丝</t>
    </r>
    <r>
      <rPr>
        <sz val="10"/>
        <rFont val="Times New Roman"/>
        <charset val="134"/>
      </rPr>
      <t>8#</t>
    </r>
  </si>
  <si>
    <r>
      <rPr>
        <sz val="10"/>
        <rFont val="宋体"/>
        <charset val="134"/>
      </rPr>
      <t>钢筋砼管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φ</t>
    </r>
    <r>
      <rPr>
        <sz val="10"/>
        <rFont val="Times New Roman"/>
        <charset val="134"/>
      </rPr>
      <t>=1.4m</t>
    </r>
  </si>
  <si>
    <r>
      <rPr>
        <sz val="10"/>
        <rFont val="宋体"/>
        <charset val="134"/>
      </rPr>
      <t>铅丝</t>
    </r>
    <r>
      <rPr>
        <sz val="10"/>
        <rFont val="Times New Roman"/>
        <charset val="134"/>
      </rPr>
      <t>10#</t>
    </r>
  </si>
  <si>
    <r>
      <rPr>
        <sz val="10"/>
        <rFont val="宋体"/>
        <charset val="134"/>
      </rPr>
      <t>钢筋砼管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φ</t>
    </r>
    <r>
      <rPr>
        <sz val="10"/>
        <rFont val="Times New Roman"/>
        <charset val="134"/>
      </rPr>
      <t>=1.2m</t>
    </r>
  </si>
  <si>
    <t>橡胶伸缩体</t>
  </si>
  <si>
    <r>
      <rPr>
        <sz val="10"/>
        <rFont val="宋体"/>
        <charset val="134"/>
      </rPr>
      <t>钢筋砼管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φ</t>
    </r>
    <r>
      <rPr>
        <sz val="10"/>
        <rFont val="Times New Roman"/>
        <charset val="134"/>
      </rPr>
      <t>=1.0m</t>
    </r>
  </si>
  <si>
    <r>
      <rPr>
        <sz val="10"/>
        <rFont val="宋体"/>
        <charset val="134"/>
      </rPr>
      <t>橡胶支座（</t>
    </r>
    <r>
      <rPr>
        <sz val="10"/>
        <rFont val="Times New Roman"/>
        <charset val="134"/>
      </rPr>
      <t>150*150*42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</si>
  <si>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钢筋砼管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φ</t>
    </r>
    <r>
      <rPr>
        <sz val="10"/>
        <rFont val="Times New Roman"/>
        <charset val="134"/>
      </rPr>
      <t>=0.8m</t>
    </r>
  </si>
  <si>
    <t>钢管加工</t>
  </si>
  <si>
    <r>
      <rPr>
        <sz val="10"/>
        <rFont val="宋体"/>
        <charset val="134"/>
      </rPr>
      <t>钢筋砼管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φ</t>
    </r>
    <r>
      <rPr>
        <sz val="10"/>
        <rFont val="Times New Roman"/>
        <charset val="134"/>
      </rPr>
      <t>=0.6m</t>
    </r>
  </si>
  <si>
    <r>
      <rPr>
        <sz val="10"/>
        <rFont val="Times New Roman"/>
        <charset val="134"/>
      </rPr>
      <t>PVC</t>
    </r>
    <r>
      <rPr>
        <sz val="10"/>
        <rFont val="宋体"/>
        <charset val="134"/>
      </rPr>
      <t>泄水管（φ</t>
    </r>
    <r>
      <rPr>
        <sz val="10"/>
        <rFont val="Times New Roman"/>
        <charset val="134"/>
      </rPr>
      <t>=500</t>
    </r>
    <r>
      <rPr>
        <sz val="10"/>
        <rFont val="宋体"/>
        <charset val="134"/>
      </rPr>
      <t>）</t>
    </r>
  </si>
</sst>
</file>

<file path=xl/styles.xml><?xml version="1.0" encoding="utf-8"?>
<styleSheet xmlns="http://schemas.openxmlformats.org/spreadsheetml/2006/main">
  <numFmts count="1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_);[Red]\(0.0\)"/>
    <numFmt numFmtId="177" formatCode="0.000000000_);[Red]\(0.000000000\)"/>
    <numFmt numFmtId="178" formatCode="_ \¥* #,##0.00_ ;_ \¥* \-#,##0.00_ ;_ \¥* &quot;-&quot;??_ ;_ @_ "/>
    <numFmt numFmtId="179" formatCode="0.00_);[Red]\(0.00\)"/>
    <numFmt numFmtId="180" formatCode="0_);[Red]\(0\)"/>
    <numFmt numFmtId="181" formatCode="0.0_ "/>
    <numFmt numFmtId="182" formatCode="0.00_ "/>
    <numFmt numFmtId="183" formatCode="0.0"/>
    <numFmt numFmtId="184" formatCode="0.0%"/>
    <numFmt numFmtId="185" formatCode="0;_਀"/>
    <numFmt numFmtId="186" formatCode="0_ "/>
    <numFmt numFmtId="187" formatCode="0.000_ "/>
    <numFmt numFmtId="188" formatCode="0.00000000000_ "/>
    <numFmt numFmtId="189" formatCode="0.000_);[Red]\(0.000\)"/>
    <numFmt numFmtId="190" formatCode="0.000"/>
    <numFmt numFmtId="191" formatCode="0_);\(0\)"/>
  </numFmts>
  <fonts count="100">
    <font>
      <sz val="12"/>
      <name val="宋体"/>
      <charset val="134"/>
    </font>
    <font>
      <sz val="12"/>
      <name val="Times New Roman"/>
      <charset val="134"/>
    </font>
    <font>
      <b/>
      <sz val="14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9"/>
      <name val="宋体"/>
      <charset val="134"/>
    </font>
    <font>
      <sz val="10"/>
      <name val="文鼎中宋"/>
      <charset val="134"/>
    </font>
    <font>
      <sz val="9"/>
      <name val="文鼎中宋"/>
      <charset val="134"/>
    </font>
    <font>
      <sz val="9"/>
      <name val="Times New Roman"/>
      <charset val="134"/>
    </font>
    <font>
      <sz val="16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16"/>
      <name val="宋体"/>
      <charset val="134"/>
    </font>
    <font>
      <sz val="10"/>
      <name val="宋体"/>
      <charset val="134"/>
      <scheme val="minor"/>
    </font>
    <font>
      <sz val="10"/>
      <name val="黑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0.5"/>
      <name val="宋体"/>
      <charset val="134"/>
    </font>
    <font>
      <b/>
      <sz val="14"/>
      <name val="Times New Roman"/>
      <charset val="134"/>
    </font>
    <font>
      <b/>
      <sz val="10"/>
      <name val="Times New Roman"/>
      <charset val="134"/>
    </font>
    <font>
      <sz val="10"/>
      <color theme="1"/>
      <name val="宋体"/>
      <charset val="134"/>
    </font>
    <font>
      <b/>
      <sz val="12"/>
      <name val="Times New Roman"/>
      <charset val="134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color indexed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0"/>
      <color rgb="FFFF0000"/>
      <name val="Times New Roman"/>
      <charset val="0"/>
    </font>
    <font>
      <sz val="11"/>
      <name val="宋体"/>
      <charset val="134"/>
      <scheme val="minor"/>
    </font>
    <font>
      <sz val="10"/>
      <color indexed="10"/>
      <name val="宋体"/>
      <charset val="134"/>
    </font>
    <font>
      <b/>
      <sz val="10"/>
      <color rgb="FFFF0000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0"/>
      <name val="Arial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0"/>
      <name val="Geneva"/>
      <charset val="134"/>
    </font>
    <font>
      <u/>
      <sz val="12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vertAlign val="superscript"/>
      <sz val="10"/>
      <name val="宋体"/>
      <charset val="134"/>
    </font>
    <font>
      <vertAlign val="superscript"/>
      <sz val="9"/>
      <name val="宋体"/>
      <charset val="134"/>
    </font>
    <font>
      <vertAlign val="superscript"/>
      <sz val="10"/>
      <name val="文鼎中宋"/>
      <charset val="134"/>
    </font>
    <font>
      <vertAlign val="superscript"/>
      <sz val="9"/>
      <name val="文鼎中宋"/>
      <charset val="134"/>
    </font>
    <font>
      <vertAlign val="superscript"/>
      <sz val="10"/>
      <name val="Times New Roman"/>
      <charset val="134"/>
    </font>
    <font>
      <b/>
      <vertAlign val="superscript"/>
      <sz val="10"/>
      <name val="Times New Roman"/>
      <charset val="134"/>
    </font>
    <font>
      <vertAlign val="superscript"/>
      <sz val="10"/>
      <color indexed="8"/>
      <name val="宋体"/>
      <charset val="134"/>
    </font>
    <font>
      <vertAlign val="superscript"/>
      <sz val="9"/>
      <name val="Times New Roman"/>
      <charset val="134"/>
    </font>
    <font>
      <vertAlign val="superscript"/>
      <sz val="10"/>
      <name val="宋体"/>
      <charset val="134"/>
      <scheme val="minor"/>
    </font>
    <font>
      <sz val="10"/>
      <color rgb="FFFF0000"/>
      <name val="宋体"/>
      <charset val="0"/>
    </font>
    <font>
      <vertAlign val="superscript"/>
      <sz val="10"/>
      <color rgb="FFFF0000"/>
      <name val="宋体"/>
      <charset val="134"/>
    </font>
    <font>
      <vertAlign val="superscript"/>
      <sz val="10"/>
      <color rgb="FFFF0000"/>
      <name val="Times New Roman"/>
      <charset val="0"/>
    </font>
    <font>
      <sz val="10"/>
      <name val="Times New Roman"/>
      <charset val="0"/>
    </font>
    <font>
      <vertAlign val="superscript"/>
      <sz val="10"/>
      <color rgb="FF000000"/>
      <name val="宋体"/>
      <charset val="134"/>
    </font>
    <font>
      <sz val="9"/>
      <name val="仿宋_GB2312"/>
      <charset val="134"/>
    </font>
    <font>
      <sz val="10"/>
      <name val="仿宋_GB2312"/>
      <charset val="134"/>
    </font>
    <font>
      <sz val="9"/>
      <name val="宋体"/>
      <charset val="134"/>
    </font>
    <font>
      <b/>
      <sz val="9"/>
      <name val="宋体"/>
      <charset val="134"/>
    </font>
  </fonts>
  <fills count="7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853511154515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8535111545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66">
    <xf numFmtId="0" fontId="0" fillId="0" borderId="0"/>
    <xf numFmtId="42" fontId="42" fillId="0" borderId="0" applyFont="0" applyFill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5" fillId="33" borderId="25" applyNumberFormat="0" applyAlignment="0" applyProtection="0">
      <alignment vertical="center"/>
    </xf>
    <xf numFmtId="178" fontId="0" fillId="0" borderId="0" applyFont="0" applyFill="0" applyBorder="0" applyAlignment="0" applyProtection="0"/>
    <xf numFmtId="41" fontId="42" fillId="0" borderId="0" applyFont="0" applyFill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6" fillId="35" borderId="26" applyNumberFormat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43" fontId="42" fillId="0" borderId="0" applyFont="0" applyFill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42" fillId="38" borderId="2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8" fillId="3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28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56" fillId="0" borderId="28" applyNumberFormat="0" applyFill="0" applyAlignment="0" applyProtection="0">
      <alignment vertical="center"/>
    </xf>
    <xf numFmtId="0" fontId="0" fillId="0" borderId="0"/>
    <xf numFmtId="0" fontId="48" fillId="40" borderId="0" applyNumberFormat="0" applyBorder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57" fillId="42" borderId="30" applyNumberFormat="0" applyAlignment="0" applyProtection="0">
      <alignment vertical="center"/>
    </xf>
    <xf numFmtId="0" fontId="58" fillId="42" borderId="25" applyNumberFormat="0" applyAlignment="0" applyProtection="0">
      <alignment vertical="center"/>
    </xf>
    <xf numFmtId="0" fontId="59" fillId="43" borderId="31" applyNumberForma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60" fillId="0" borderId="32" applyNumberFormat="0" applyFill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2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0" borderId="0">
      <alignment vertical="center"/>
    </xf>
    <xf numFmtId="0" fontId="44" fillId="5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64" fillId="35" borderId="34" applyNumberFormat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66" fillId="0" borderId="0"/>
    <xf numFmtId="0" fontId="44" fillId="57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4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61" borderId="0" applyNumberFormat="0" applyBorder="0" applyAlignment="0" applyProtection="0">
      <alignment vertical="center"/>
    </xf>
    <xf numFmtId="0" fontId="48" fillId="62" borderId="0" applyNumberFormat="0" applyBorder="0" applyAlignment="0" applyProtection="0">
      <alignment vertical="center"/>
    </xf>
    <xf numFmtId="0" fontId="44" fillId="63" borderId="0" applyNumberFormat="0" applyBorder="0" applyAlignment="0" applyProtection="0">
      <alignment vertical="center"/>
    </xf>
    <xf numFmtId="0" fontId="48" fillId="64" borderId="0" applyNumberFormat="0" applyBorder="0" applyAlignment="0" applyProtection="0">
      <alignment vertical="center"/>
    </xf>
    <xf numFmtId="0" fontId="48" fillId="65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68" fillId="0" borderId="35" applyNumberFormat="0" applyFill="0" applyAlignment="0" applyProtection="0">
      <alignment vertical="center"/>
    </xf>
    <xf numFmtId="0" fontId="0" fillId="0" borderId="0"/>
    <xf numFmtId="0" fontId="66" fillId="0" borderId="0"/>
    <xf numFmtId="0" fontId="43" fillId="68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0" fillId="0" borderId="0"/>
    <xf numFmtId="0" fontId="43" fillId="44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43" fillId="0" borderId="0">
      <alignment vertical="center"/>
    </xf>
    <xf numFmtId="0" fontId="65" fillId="49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72" borderId="0" applyNumberFormat="0" applyBorder="0" applyAlignment="0" applyProtection="0">
      <alignment vertical="center"/>
    </xf>
    <xf numFmtId="0" fontId="65" fillId="73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36" applyNumberFormat="0" applyFill="0" applyAlignment="0" applyProtection="0">
      <alignment vertical="center"/>
    </xf>
    <xf numFmtId="0" fontId="70" fillId="0" borderId="37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6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/>
    <xf numFmtId="0" fontId="4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>
      <alignment vertical="center"/>
    </xf>
    <xf numFmtId="0" fontId="43" fillId="0" borderId="0">
      <alignment vertical="center"/>
    </xf>
    <xf numFmtId="0" fontId="0" fillId="0" borderId="0"/>
    <xf numFmtId="0" fontId="0" fillId="0" borderId="0"/>
    <xf numFmtId="0" fontId="0" fillId="0" borderId="0"/>
    <xf numFmtId="0" fontId="65" fillId="72" borderId="0" applyNumberFormat="0" applyBorder="0" applyAlignment="0" applyProtection="0">
      <alignment vertical="center"/>
    </xf>
    <xf numFmtId="0" fontId="0" fillId="0" borderId="0"/>
    <xf numFmtId="0" fontId="73" fillId="9" borderId="26" applyNumberFormat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/>
    <xf numFmtId="0" fontId="0" fillId="0" borderId="0"/>
    <xf numFmtId="0" fontId="0" fillId="0" borderId="0"/>
    <xf numFmtId="0" fontId="42" fillId="0" borderId="0"/>
    <xf numFmtId="0" fontId="0" fillId="0" borderId="0"/>
    <xf numFmtId="0" fontId="43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3" fillId="74" borderId="38" applyNumberFormat="0" applyFont="0" applyAlignment="0" applyProtection="0">
      <alignment vertical="center"/>
    </xf>
    <xf numFmtId="0" fontId="0" fillId="0" borderId="0"/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0" borderId="0"/>
    <xf numFmtId="0" fontId="0" fillId="0" borderId="0"/>
    <xf numFmtId="0" fontId="0" fillId="0" borderId="0"/>
    <xf numFmtId="0" fontId="1" fillId="0" borderId="0">
      <alignment vertical="center"/>
    </xf>
    <xf numFmtId="0" fontId="0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6" fillId="69" borderId="0" applyNumberFormat="0" applyBorder="0" applyAlignment="0" applyProtection="0">
      <alignment vertical="center"/>
    </xf>
    <xf numFmtId="0" fontId="77" fillId="0" borderId="39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78" fillId="75" borderId="40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0" borderId="41" applyNumberFormat="0" applyFill="0" applyAlignment="0" applyProtection="0">
      <alignment vertical="center"/>
    </xf>
    <xf numFmtId="0" fontId="65" fillId="76" borderId="0" applyNumberFormat="0" applyBorder="0" applyAlignment="0" applyProtection="0">
      <alignment vertical="center"/>
    </xf>
    <xf numFmtId="0" fontId="65" fillId="77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73" borderId="0" applyNumberFormat="0" applyBorder="0" applyAlignment="0" applyProtection="0">
      <alignment vertical="center"/>
    </xf>
    <xf numFmtId="0" fontId="65" fillId="78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</cellStyleXfs>
  <cellXfs count="72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146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justify" vertical="center"/>
    </xf>
    <xf numFmtId="0" fontId="6" fillId="2" borderId="2" xfId="0" applyFont="1" applyFill="1" applyBorder="1" applyAlignment="1">
      <alignment horizontal="center" vertical="center"/>
    </xf>
    <xf numFmtId="179" fontId="6" fillId="2" borderId="2" xfId="146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/>
    </xf>
    <xf numFmtId="179" fontId="6" fillId="0" borderId="2" xfId="146" applyNumberFormat="1" applyFont="1" applyFill="1" applyBorder="1" applyAlignment="1">
      <alignment horizontal="center" vertical="center"/>
    </xf>
    <xf numFmtId="180" fontId="6" fillId="0" borderId="2" xfId="146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182" fontId="6" fillId="0" borderId="2" xfId="146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82" fontId="6" fillId="2" borderId="2" xfId="146" applyNumberFormat="1" applyFont="1" applyFill="1" applyBorder="1" applyAlignment="1">
      <alignment horizontal="center" vertical="center"/>
    </xf>
    <xf numFmtId="183" fontId="6" fillId="0" borderId="2" xfId="146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6" fillId="0" borderId="2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80" fontId="1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82" fontId="6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9" fontId="6" fillId="2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83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0" fontId="6" fillId="0" borderId="2" xfId="14" applyNumberFormat="1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/>
    </xf>
    <xf numFmtId="10" fontId="6" fillId="3" borderId="2" xfId="14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9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/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8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143" applyFont="1" applyBorder="1" applyAlignment="1">
      <alignment horizontal="left" vertical="center"/>
    </xf>
    <xf numFmtId="179" fontId="6" fillId="0" borderId="2" xfId="0" applyNumberFormat="1" applyFont="1" applyBorder="1" applyAlignment="1">
      <alignment horizontal="left" vertical="center"/>
    </xf>
    <xf numFmtId="179" fontId="0" fillId="0" borderId="0" xfId="0" applyNumberForma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6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Font="1" applyFill="1" applyBorder="1"/>
    <xf numFmtId="0" fontId="0" fillId="0" borderId="2" xfId="0" applyFont="1" applyBorder="1" applyAlignment="1">
      <alignment vertical="center"/>
    </xf>
    <xf numFmtId="186" fontId="6" fillId="0" borderId="2" xfId="0" applyNumberFormat="1" applyFont="1" applyBorder="1" applyAlignment="1">
      <alignment vertical="center"/>
    </xf>
    <xf numFmtId="186" fontId="0" fillId="0" borderId="2" xfId="0" applyNumberFormat="1" applyFont="1" applyBorder="1" applyAlignment="1">
      <alignment vertical="center"/>
    </xf>
    <xf numFmtId="187" fontId="6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186" fontId="6" fillId="0" borderId="2" xfId="0" applyNumberFormat="1" applyFont="1" applyFill="1" applyBorder="1" applyAlignment="1">
      <alignment horizontal="center" vertical="center"/>
    </xf>
    <xf numFmtId="181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86" fontId="6" fillId="0" borderId="0" xfId="0" applyNumberFormat="1" applyFont="1" applyAlignment="1">
      <alignment horizontal="center"/>
    </xf>
    <xf numFmtId="0" fontId="15" fillId="0" borderId="5" xfId="0" applyFont="1" applyBorder="1" applyAlignment="1">
      <alignment horizontal="center" vertical="center"/>
    </xf>
    <xf numFmtId="182" fontId="6" fillId="0" borderId="0" xfId="0" applyNumberFormat="1" applyFont="1" applyAlignment="1">
      <alignment horizontal="center" vertical="center"/>
    </xf>
    <xf numFmtId="182" fontId="0" fillId="0" borderId="0" xfId="0" applyNumberFormat="1" applyAlignment="1">
      <alignment horizontal="center"/>
    </xf>
    <xf numFmtId="182" fontId="0" fillId="0" borderId="0" xfId="0" applyNumberFormat="1"/>
    <xf numFmtId="0" fontId="16" fillId="0" borderId="2" xfId="96" applyFont="1" applyFill="1" applyBorder="1" applyAlignment="1">
      <alignment horizontal="center" vertical="center"/>
    </xf>
    <xf numFmtId="188" fontId="0" fillId="0" borderId="0" xfId="0" applyNumberFormat="1" applyAlignment="1">
      <alignment horizontal="center"/>
    </xf>
    <xf numFmtId="182" fontId="6" fillId="0" borderId="0" xfId="0" applyNumberFormat="1" applyFont="1" applyAlignment="1">
      <alignment horizontal="center"/>
    </xf>
    <xf numFmtId="0" fontId="6" fillId="0" borderId="2" xfId="149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2" fontId="6" fillId="4" borderId="2" xfId="164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181" fontId="6" fillId="0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1" fontId="6" fillId="6" borderId="2" xfId="0" applyNumberFormat="1" applyFont="1" applyFill="1" applyBorder="1" applyAlignment="1">
      <alignment horizontal="center" vertical="center"/>
    </xf>
    <xf numFmtId="2" fontId="6" fillId="6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89" fontId="0" fillId="0" borderId="0" xfId="0" applyNumberFormat="1" applyFill="1"/>
    <xf numFmtId="182" fontId="6" fillId="7" borderId="2" xfId="164" applyNumberFormat="1" applyFont="1" applyFill="1" applyBorder="1" applyAlignment="1">
      <alignment horizontal="center" vertical="center"/>
    </xf>
    <xf numFmtId="179" fontId="0" fillId="0" borderId="0" xfId="0" applyNumberFormat="1" applyFill="1"/>
    <xf numFmtId="182" fontId="6" fillId="6" borderId="2" xfId="0" applyNumberFormat="1" applyFont="1" applyFill="1" applyBorder="1" applyAlignment="1">
      <alignment horizontal="center" vertical="center"/>
    </xf>
    <xf numFmtId="2" fontId="6" fillId="8" borderId="2" xfId="0" applyNumberFormat="1" applyFont="1" applyFill="1" applyBorder="1" applyAlignment="1">
      <alignment horizontal="center" vertical="center"/>
    </xf>
    <xf numFmtId="2" fontId="6" fillId="7" borderId="2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90" fontId="6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9" fontId="0" fillId="0" borderId="0" xfId="0" applyNumberFormat="1"/>
    <xf numFmtId="0" fontId="5" fillId="0" borderId="2" xfId="0" applyFont="1" applyBorder="1" applyAlignment="1">
      <alignment horizontal="center"/>
    </xf>
    <xf numFmtId="190" fontId="1" fillId="0" borderId="2" xfId="0" applyNumberFormat="1" applyFont="1" applyBorder="1" applyAlignment="1">
      <alignment horizontal="center" vertical="center"/>
    </xf>
    <xf numFmtId="2" fontId="0" fillId="9" borderId="2" xfId="0" applyNumberFormat="1" applyFont="1" applyFill="1" applyBorder="1" applyAlignment="1">
      <alignment horizontal="center" vertical="center"/>
    </xf>
    <xf numFmtId="190" fontId="0" fillId="0" borderId="2" xfId="0" applyNumberFormat="1" applyFont="1" applyBorder="1" applyAlignment="1">
      <alignment horizontal="center" vertical="center"/>
    </xf>
    <xf numFmtId="177" fontId="0" fillId="0" borderId="0" xfId="0" applyNumberFormat="1" applyFont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9" fontId="0" fillId="10" borderId="2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left" vertical="center"/>
    </xf>
    <xf numFmtId="2" fontId="0" fillId="11" borderId="2" xfId="0" applyNumberFormat="1" applyFill="1" applyBorder="1"/>
    <xf numFmtId="0" fontId="0" fillId="11" borderId="2" xfId="0" applyFill="1" applyBorder="1"/>
    <xf numFmtId="0" fontId="0" fillId="12" borderId="2" xfId="0" applyFill="1" applyBorder="1"/>
    <xf numFmtId="182" fontId="0" fillId="4" borderId="2" xfId="0" applyNumberFormat="1" applyFill="1" applyBorder="1"/>
    <xf numFmtId="2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83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shrinkToFit="1"/>
    </xf>
    <xf numFmtId="0" fontId="6" fillId="0" borderId="10" xfId="0" applyFont="1" applyFill="1" applyBorder="1" applyAlignment="1">
      <alignment horizontal="justify" vertical="center" wrapText="1"/>
    </xf>
    <xf numFmtId="0" fontId="0" fillId="0" borderId="0" xfId="0" applyFill="1" applyAlignment="1"/>
    <xf numFmtId="0" fontId="2" fillId="0" borderId="0" xfId="148" applyFont="1" applyAlignment="1"/>
    <xf numFmtId="0" fontId="0" fillId="0" borderId="0" xfId="148" applyFont="1" applyAlignment="1"/>
    <xf numFmtId="0" fontId="13" fillId="0" borderId="0" xfId="148" applyFont="1" applyAlignment="1"/>
    <xf numFmtId="0" fontId="13" fillId="0" borderId="0" xfId="148" applyFont="1" applyAlignment="1">
      <alignment horizontal="right"/>
    </xf>
    <xf numFmtId="0" fontId="13" fillId="13" borderId="2" xfId="148" applyFont="1" applyFill="1" applyBorder="1" applyAlignment="1"/>
    <xf numFmtId="0" fontId="18" fillId="11" borderId="2" xfId="148" applyFont="1" applyFill="1" applyBorder="1" applyAlignment="1">
      <alignment horizontal="center" wrapText="1"/>
    </xf>
    <xf numFmtId="0" fontId="18" fillId="2" borderId="11" xfId="148" applyFont="1" applyFill="1" applyBorder="1" applyAlignment="1">
      <alignment horizontal="center" wrapText="1"/>
    </xf>
    <xf numFmtId="0" fontId="19" fillId="11" borderId="2" xfId="148" applyFont="1" applyFill="1" applyBorder="1" applyAlignment="1">
      <alignment horizontal="center" wrapText="1"/>
    </xf>
    <xf numFmtId="0" fontId="13" fillId="11" borderId="2" xfId="148" applyFont="1" applyFill="1" applyBorder="1" applyAlignment="1">
      <alignment horizontal="justify" wrapText="1"/>
    </xf>
    <xf numFmtId="0" fontId="20" fillId="9" borderId="2" xfId="148" applyFont="1" applyFill="1" applyBorder="1" applyAlignment="1">
      <alignment horizontal="right" wrapText="1"/>
    </xf>
    <xf numFmtId="0" fontId="20" fillId="2" borderId="2" xfId="148" applyFont="1" applyFill="1" applyBorder="1" applyAlignment="1">
      <alignment horizontal="right" wrapText="1"/>
    </xf>
    <xf numFmtId="0" fontId="0" fillId="0" borderId="0" xfId="148" applyFont="1" applyAlignment="1">
      <alignment vertical="center"/>
    </xf>
    <xf numFmtId="0" fontId="2" fillId="0" borderId="0" xfId="165" applyFont="1" applyFill="1" applyBorder="1" applyAlignment="1"/>
    <xf numFmtId="0" fontId="0" fillId="0" borderId="0" xfId="0" applyFill="1" applyBorder="1" applyAlignment="1"/>
    <xf numFmtId="0" fontId="13" fillId="0" borderId="0" xfId="165" applyFont="1" applyFill="1" applyBorder="1" applyAlignment="1">
      <alignment horizontal="right"/>
    </xf>
    <xf numFmtId="0" fontId="13" fillId="13" borderId="2" xfId="165" applyFont="1" applyFill="1" applyBorder="1" applyAlignment="1"/>
    <xf numFmtId="0" fontId="13" fillId="0" borderId="0" xfId="165" applyFont="1" applyFill="1" applyBorder="1" applyAlignment="1"/>
    <xf numFmtId="0" fontId="18" fillId="11" borderId="2" xfId="165" applyFont="1" applyFill="1" applyBorder="1" applyAlignment="1">
      <alignment horizontal="center" wrapText="1"/>
    </xf>
    <xf numFmtId="0" fontId="18" fillId="0" borderId="11" xfId="165" applyFont="1" applyFill="1" applyBorder="1" applyAlignment="1">
      <alignment horizontal="center" wrapText="1"/>
    </xf>
    <xf numFmtId="0" fontId="19" fillId="11" borderId="2" xfId="165" applyFont="1" applyFill="1" applyBorder="1" applyAlignment="1">
      <alignment horizontal="center" wrapText="1"/>
    </xf>
    <xf numFmtId="0" fontId="13" fillId="11" borderId="2" xfId="165" applyFont="1" applyFill="1" applyBorder="1" applyAlignment="1">
      <alignment horizontal="justify" wrapText="1"/>
    </xf>
    <xf numFmtId="0" fontId="20" fillId="13" borderId="2" xfId="165" applyFont="1" applyFill="1" applyBorder="1" applyAlignment="1">
      <alignment horizontal="right" wrapText="1"/>
    </xf>
    <xf numFmtId="0" fontId="18" fillId="0" borderId="11" xfId="148" applyFont="1" applyBorder="1" applyAlignment="1">
      <alignment horizontal="center" wrapText="1"/>
    </xf>
    <xf numFmtId="0" fontId="20" fillId="13" borderId="2" xfId="148" applyFont="1" applyFill="1" applyBorder="1" applyAlignment="1">
      <alignment horizontal="right" wrapText="1"/>
    </xf>
    <xf numFmtId="0" fontId="18" fillId="0" borderId="0" xfId="165" applyFont="1" applyFill="1" applyBorder="1" applyAlignment="1">
      <alignment horizontal="center" wrapText="1"/>
    </xf>
    <xf numFmtId="0" fontId="2" fillId="0" borderId="0" xfId="165" applyFont="1" applyFill="1" applyBorder="1" applyAlignment="1">
      <alignment horizontal="center"/>
    </xf>
    <xf numFmtId="0" fontId="18" fillId="0" borderId="12" xfId="165" applyFont="1" applyFill="1" applyBorder="1" applyAlignment="1">
      <alignment horizontal="center"/>
    </xf>
    <xf numFmtId="0" fontId="19" fillId="0" borderId="0" xfId="165" applyFont="1" applyFill="1" applyBorder="1" applyAlignment="1">
      <alignment horizontal="center" wrapText="1"/>
    </xf>
    <xf numFmtId="0" fontId="18" fillId="0" borderId="0" xfId="165" applyFont="1" applyFill="1" applyBorder="1" applyAlignment="1">
      <alignment horizontal="center"/>
    </xf>
    <xf numFmtId="0" fontId="20" fillId="0" borderId="0" xfId="165" applyFont="1" applyFill="1" applyBorder="1" applyAlignment="1">
      <alignment horizontal="right" wrapText="1"/>
    </xf>
    <xf numFmtId="0" fontId="18" fillId="0" borderId="13" xfId="165" applyFont="1" applyFill="1" applyBorder="1" applyAlignment="1">
      <alignment horizontal="center" wrapText="1"/>
    </xf>
    <xf numFmtId="0" fontId="18" fillId="0" borderId="14" xfId="165" applyFont="1" applyFill="1" applyBorder="1" applyAlignment="1">
      <alignment horizontal="center" wrapText="1"/>
    </xf>
    <xf numFmtId="0" fontId="18" fillId="0" borderId="15" xfId="165" applyFont="1" applyFill="1" applyBorder="1" applyAlignment="1">
      <alignment horizontal="center" wrapText="1"/>
    </xf>
    <xf numFmtId="0" fontId="18" fillId="0" borderId="16" xfId="165" applyFont="1" applyFill="1" applyBorder="1" applyAlignment="1">
      <alignment horizontal="center" wrapText="1"/>
    </xf>
    <xf numFmtId="0" fontId="13" fillId="0" borderId="11" xfId="165" applyFont="1" applyFill="1" applyBorder="1" applyAlignment="1">
      <alignment horizontal="center" wrapText="1"/>
    </xf>
    <xf numFmtId="0" fontId="18" fillId="0" borderId="17" xfId="165" applyFont="1" applyFill="1" applyBorder="1" applyAlignment="1">
      <alignment horizontal="center" wrapText="1"/>
    </xf>
    <xf numFmtId="0" fontId="21" fillId="0" borderId="2" xfId="165" applyFont="1" applyFill="1" applyBorder="1" applyAlignment="1">
      <alignment horizontal="center" wrapText="1"/>
    </xf>
    <xf numFmtId="0" fontId="13" fillId="0" borderId="18" xfId="165" applyFont="1" applyFill="1" applyBorder="1" applyAlignment="1">
      <alignment horizontal="center" wrapText="1"/>
    </xf>
    <xf numFmtId="0" fontId="13" fillId="0" borderId="0" xfId="165" applyFont="1" applyFill="1" applyBorder="1" applyAlignment="1">
      <alignment horizontal="justify" wrapText="1"/>
    </xf>
    <xf numFmtId="0" fontId="2" fillId="0" borderId="0" xfId="148" applyFont="1" applyBorder="1" applyAlignment="1">
      <alignment horizontal="center"/>
    </xf>
    <xf numFmtId="0" fontId="18" fillId="0" borderId="12" xfId="148" applyFont="1" applyBorder="1" applyAlignment="1">
      <alignment horizontal="center"/>
    </xf>
    <xf numFmtId="0" fontId="18" fillId="0" borderId="0" xfId="148" applyFont="1" applyBorder="1" applyAlignment="1">
      <alignment horizontal="center"/>
    </xf>
    <xf numFmtId="0" fontId="18" fillId="0" borderId="13" xfId="148" applyFont="1" applyBorder="1" applyAlignment="1">
      <alignment horizontal="center" wrapText="1"/>
    </xf>
    <xf numFmtId="0" fontId="18" fillId="0" borderId="14" xfId="148" applyFont="1" applyBorder="1" applyAlignment="1">
      <alignment horizontal="center" wrapText="1"/>
    </xf>
    <xf numFmtId="0" fontId="18" fillId="0" borderId="15" xfId="148" applyFont="1" applyBorder="1" applyAlignment="1">
      <alignment horizontal="center" wrapText="1"/>
    </xf>
    <xf numFmtId="0" fontId="18" fillId="0" borderId="16" xfId="148" applyFont="1" applyBorder="1" applyAlignment="1">
      <alignment horizontal="center" wrapText="1"/>
    </xf>
    <xf numFmtId="182" fontId="20" fillId="13" borderId="2" xfId="148" applyNumberFormat="1" applyFont="1" applyFill="1" applyBorder="1" applyAlignment="1">
      <alignment horizontal="right" wrapText="1"/>
    </xf>
    <xf numFmtId="0" fontId="13" fillId="0" borderId="11" xfId="148" applyFont="1" applyBorder="1" applyAlignment="1">
      <alignment horizontal="center" wrapText="1"/>
    </xf>
    <xf numFmtId="0" fontId="18" fillId="0" borderId="17" xfId="148" applyFont="1" applyBorder="1" applyAlignment="1">
      <alignment horizontal="center" wrapText="1"/>
    </xf>
    <xf numFmtId="0" fontId="21" fillId="0" borderId="2" xfId="148" applyFont="1" applyBorder="1" applyAlignment="1">
      <alignment horizontal="center" wrapText="1"/>
    </xf>
    <xf numFmtId="0" fontId="13" fillId="0" borderId="18" xfId="148" applyFont="1" applyBorder="1" applyAlignment="1">
      <alignment horizontal="center" wrapText="1"/>
    </xf>
    <xf numFmtId="0" fontId="18" fillId="0" borderId="19" xfId="165" applyFont="1" applyFill="1" applyBorder="1" applyAlignment="1">
      <alignment horizontal="center" wrapText="1"/>
    </xf>
    <xf numFmtId="0" fontId="18" fillId="0" borderId="19" xfId="148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0" fillId="1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4" fontId="7" fillId="0" borderId="2" xfId="0" applyNumberFormat="1" applyFont="1" applyFill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2" fontId="7" fillId="0" borderId="2" xfId="0" applyNumberFormat="1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9" fontId="7" fillId="0" borderId="2" xfId="0" applyNumberFormat="1" applyFont="1" applyFill="1" applyBorder="1" applyAlignment="1">
      <alignment horizontal="center" vertical="center"/>
    </xf>
    <xf numFmtId="182" fontId="16" fillId="0" borderId="2" xfId="0" applyNumberFormat="1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5" fillId="0" borderId="0" xfId="0" applyNumberFormat="1" applyFont="1" applyAlignment="1">
      <alignment horizontal="center" vertical="center"/>
    </xf>
    <xf numFmtId="179" fontId="6" fillId="0" borderId="1" xfId="0" applyNumberFormat="1" applyFont="1" applyBorder="1" applyAlignment="1">
      <alignment horizontal="left" vertical="center"/>
    </xf>
    <xf numFmtId="179" fontId="6" fillId="0" borderId="0" xfId="0" applyNumberFormat="1" applyFont="1" applyAlignment="1">
      <alignment horizontal="center" vertical="center"/>
    </xf>
    <xf numFmtId="179" fontId="6" fillId="0" borderId="3" xfId="0" applyNumberFormat="1" applyFont="1" applyBorder="1" applyAlignment="1">
      <alignment horizontal="left" vertical="center"/>
    </xf>
    <xf numFmtId="179" fontId="6" fillId="0" borderId="20" xfId="0" applyNumberFormat="1" applyFont="1" applyBorder="1" applyAlignment="1">
      <alignment horizontal="left" vertical="center"/>
    </xf>
    <xf numFmtId="179" fontId="6" fillId="0" borderId="4" xfId="0" applyNumberFormat="1" applyFont="1" applyBorder="1" applyAlignment="1">
      <alignment horizontal="left" vertical="center"/>
    </xf>
    <xf numFmtId="180" fontId="6" fillId="0" borderId="2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189" fontId="6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9" fontId="6" fillId="0" borderId="4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81" fontId="6" fillId="0" borderId="2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/>
    </xf>
    <xf numFmtId="182" fontId="6" fillId="0" borderId="2" xfId="0" applyNumberFormat="1" applyFont="1" applyFill="1" applyBorder="1" applyAlignment="1">
      <alignment horizontal="center" vertical="center" wrapText="1"/>
    </xf>
    <xf numFmtId="179" fontId="7" fillId="0" borderId="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79" fontId="16" fillId="0" borderId="2" xfId="0" applyNumberFormat="1" applyFont="1" applyFill="1" applyBorder="1" applyAlignment="1">
      <alignment horizontal="center" vertical="center"/>
    </xf>
    <xf numFmtId="179" fontId="28" fillId="0" borderId="2" xfId="0" applyNumberFormat="1" applyFont="1" applyFill="1" applyBorder="1" applyAlignment="1">
      <alignment horizontal="center" vertical="center"/>
    </xf>
    <xf numFmtId="183" fontId="16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184" fontId="16" fillId="0" borderId="2" xfId="0" applyNumberFormat="1" applyFont="1" applyFill="1" applyBorder="1" applyAlignment="1">
      <alignment horizontal="center" vertical="center"/>
    </xf>
    <xf numFmtId="10" fontId="16" fillId="0" borderId="2" xfId="0" applyNumberFormat="1" applyFont="1" applyFill="1" applyBorder="1" applyAlignment="1">
      <alignment horizontal="center" vertical="center"/>
    </xf>
    <xf numFmtId="181" fontId="7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9" fontId="6" fillId="0" borderId="6" xfId="0" applyNumberFormat="1" applyFont="1" applyFill="1" applyBorder="1" applyAlignment="1">
      <alignment horizontal="center" vertical="center"/>
    </xf>
    <xf numFmtId="182" fontId="7" fillId="0" borderId="2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/>
    </xf>
    <xf numFmtId="9" fontId="7" fillId="0" borderId="2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0" fontId="7" fillId="14" borderId="10" xfId="0" applyFont="1" applyFill="1" applyBorder="1" applyAlignment="1">
      <alignment horizontal="center" vertical="center"/>
    </xf>
    <xf numFmtId="179" fontId="6" fillId="0" borderId="2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84" fontId="7" fillId="4" borderId="2" xfId="0" applyNumberFormat="1" applyFont="1" applyFill="1" applyBorder="1" applyAlignment="1">
      <alignment horizontal="center" vertical="center"/>
    </xf>
    <xf numFmtId="182" fontId="6" fillId="4" borderId="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82" fontId="6" fillId="7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0" fontId="7" fillId="4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190" fontId="0" fillId="0" borderId="0" xfId="0" applyNumberFormat="1" applyAlignment="1">
      <alignment vertical="center"/>
    </xf>
    <xf numFmtId="0" fontId="6" fillId="15" borderId="1" xfId="0" applyFont="1" applyFill="1" applyBorder="1" applyAlignment="1">
      <alignment horizontal="left" vertical="center"/>
    </xf>
    <xf numFmtId="181" fontId="6" fillId="4" borderId="2" xfId="0" applyNumberFormat="1" applyFont="1" applyFill="1" applyBorder="1" applyAlignment="1">
      <alignment horizontal="center" vertical="center"/>
    </xf>
    <xf numFmtId="183" fontId="6" fillId="0" borderId="0" xfId="0" applyNumberFormat="1" applyFont="1" applyFill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87" fontId="6" fillId="0" borderId="2" xfId="0" applyNumberFormat="1" applyFont="1" applyFill="1" applyBorder="1" applyAlignment="1">
      <alignment horizontal="center" vertical="center"/>
    </xf>
    <xf numFmtId="182" fontId="6" fillId="3" borderId="2" xfId="0" applyNumberFormat="1" applyFont="1" applyFill="1" applyBorder="1" applyAlignment="1">
      <alignment horizontal="center" vertical="center"/>
    </xf>
    <xf numFmtId="0" fontId="22" fillId="16" borderId="0" xfId="0" applyFont="1" applyFill="1" applyAlignment="1">
      <alignment horizontal="left" vertical="center"/>
    </xf>
    <xf numFmtId="0" fontId="2" fillId="16" borderId="0" xfId="0" applyFont="1" applyFill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182" fontId="16" fillId="0" borderId="2" xfId="0" applyNumberFormat="1" applyFont="1" applyFill="1" applyBorder="1" applyAlignment="1">
      <alignment horizontal="center" vertical="center"/>
    </xf>
    <xf numFmtId="9" fontId="16" fillId="0" borderId="2" xfId="0" applyNumberFormat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Fill="1" applyBorder="1" applyAlignment="1">
      <alignment vertical="center"/>
    </xf>
    <xf numFmtId="0" fontId="28" fillId="0" borderId="2" xfId="0" applyFont="1" applyBorder="1" applyAlignment="1">
      <alignment vertical="center"/>
    </xf>
    <xf numFmtId="182" fontId="6" fillId="0" borderId="7" xfId="0" applyNumberFormat="1" applyFont="1" applyBorder="1" applyAlignment="1">
      <alignment horizontal="center" vertical="center"/>
    </xf>
    <xf numFmtId="182" fontId="6" fillId="0" borderId="7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179" fontId="6" fillId="3" borderId="2" xfId="0" applyNumberFormat="1" applyFont="1" applyFill="1" applyBorder="1" applyAlignment="1">
      <alignment horizontal="center" vertical="center"/>
    </xf>
    <xf numFmtId="179" fontId="6" fillId="17" borderId="2" xfId="0" applyNumberFormat="1" applyFont="1" applyFill="1" applyBorder="1" applyAlignment="1">
      <alignment horizontal="center" vertical="center"/>
    </xf>
    <xf numFmtId="0" fontId="6" fillId="0" borderId="2" xfId="109" applyFont="1" applyBorder="1" applyAlignment="1">
      <alignment vertical="center"/>
    </xf>
    <xf numFmtId="0" fontId="6" fillId="0" borderId="2" xfId="149" applyFont="1" applyFill="1" applyBorder="1" applyAlignment="1">
      <alignment horizontal="left" vertical="center"/>
    </xf>
    <xf numFmtId="0" fontId="6" fillId="18" borderId="2" xfId="0" applyFont="1" applyFill="1" applyBorder="1" applyAlignment="1">
      <alignment horizontal="left" vertical="center"/>
    </xf>
    <xf numFmtId="179" fontId="6" fillId="4" borderId="2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2" fontId="6" fillId="19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center" vertical="center"/>
    </xf>
    <xf numFmtId="2" fontId="16" fillId="0" borderId="2" xfId="149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center" vertical="center"/>
    </xf>
    <xf numFmtId="2" fontId="16" fillId="3" borderId="2" xfId="149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2" fontId="6" fillId="20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79" fontId="4" fillId="0" borderId="2" xfId="147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185" fontId="6" fillId="0" borderId="2" xfId="0" applyNumberFormat="1" applyFont="1" applyFill="1" applyBorder="1" applyAlignment="1">
      <alignment horizontal="center" vertical="center"/>
    </xf>
    <xf numFmtId="185" fontId="4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3" fillId="21" borderId="2" xfId="0" applyFont="1" applyFill="1" applyBorder="1" applyAlignment="1">
      <alignment horizontal="left" vertical="center"/>
    </xf>
    <xf numFmtId="0" fontId="33" fillId="22" borderId="7" xfId="0" applyFont="1" applyFill="1" applyBorder="1" applyAlignment="1">
      <alignment horizontal="left" vertical="center" wrapText="1"/>
    </xf>
    <xf numFmtId="0" fontId="33" fillId="22" borderId="21" xfId="0" applyFont="1" applyFill="1" applyBorder="1" applyAlignment="1">
      <alignment horizontal="left" vertical="center" wrapText="1"/>
    </xf>
    <xf numFmtId="0" fontId="33" fillId="22" borderId="21" xfId="0" applyFont="1" applyFill="1" applyBorder="1" applyAlignment="1">
      <alignment horizontal="center" vertical="center" wrapText="1"/>
    </xf>
    <xf numFmtId="0" fontId="33" fillId="22" borderId="2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186" fontId="6" fillId="0" borderId="2" xfId="0" applyNumberFormat="1" applyFont="1" applyFill="1" applyBorder="1" applyAlignment="1">
      <alignment horizontal="center" vertical="center" wrapText="1"/>
    </xf>
    <xf numFmtId="179" fontId="6" fillId="0" borderId="2" xfId="147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186" fontId="0" fillId="0" borderId="0" xfId="0" applyNumberFormat="1" applyFont="1"/>
    <xf numFmtId="0" fontId="5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186" fontId="6" fillId="4" borderId="2" xfId="0" applyNumberFormat="1" applyFont="1" applyFill="1" applyBorder="1" applyAlignment="1">
      <alignment horizontal="center" vertical="center"/>
    </xf>
    <xf numFmtId="185" fontId="6" fillId="4" borderId="2" xfId="0" applyNumberFormat="1" applyFont="1" applyFill="1" applyBorder="1" applyAlignment="1">
      <alignment horizontal="center" vertical="center"/>
    </xf>
    <xf numFmtId="182" fontId="6" fillId="0" borderId="2" xfId="149" applyNumberFormat="1" applyFont="1" applyFill="1" applyBorder="1" applyAlignment="1">
      <alignment horizontal="center" vertical="center"/>
    </xf>
    <xf numFmtId="1" fontId="6" fillId="0" borderId="2" xfId="149" applyNumberFormat="1" applyFont="1" applyFill="1" applyBorder="1" applyAlignment="1">
      <alignment horizontal="center" vertical="center"/>
    </xf>
    <xf numFmtId="185" fontId="4" fillId="4" borderId="2" xfId="0" applyNumberFormat="1" applyFont="1" applyFill="1" applyBorder="1" applyAlignment="1">
      <alignment horizontal="center" vertical="center"/>
    </xf>
    <xf numFmtId="0" fontId="15" fillId="0" borderId="0" xfId="149" applyFont="1" applyFill="1" applyBorder="1" applyAlignment="1">
      <alignment horizontal="center" vertical="center" wrapText="1"/>
    </xf>
    <xf numFmtId="0" fontId="4" fillId="0" borderId="0" xfId="149" applyFont="1" applyFill="1" applyAlignment="1">
      <alignment horizontal="center" vertical="center" wrapText="1"/>
    </xf>
    <xf numFmtId="0" fontId="15" fillId="0" borderId="1" xfId="149" applyFont="1" applyFill="1" applyBorder="1" applyAlignment="1">
      <alignment horizontal="center" vertical="center" wrapText="1"/>
    </xf>
    <xf numFmtId="0" fontId="6" fillId="0" borderId="0" xfId="149" applyFont="1" applyFill="1" applyAlignment="1">
      <alignment horizontal="center" vertical="center"/>
    </xf>
    <xf numFmtId="0" fontId="4" fillId="0" borderId="2" xfId="149" applyFont="1" applyFill="1" applyBorder="1" applyAlignment="1">
      <alignment horizontal="center" vertical="center"/>
    </xf>
    <xf numFmtId="0" fontId="4" fillId="0" borderId="2" xfId="149" applyFont="1" applyFill="1" applyBorder="1" applyAlignment="1">
      <alignment horizontal="left" vertical="center"/>
    </xf>
    <xf numFmtId="1" fontId="4" fillId="0" borderId="2" xfId="149" applyNumberFormat="1" applyFont="1" applyFill="1" applyBorder="1" applyAlignment="1">
      <alignment horizontal="center" vertical="center"/>
    </xf>
    <xf numFmtId="1" fontId="4" fillId="0" borderId="0" xfId="149" applyNumberFormat="1" applyFont="1" applyFill="1" applyAlignment="1">
      <alignment horizontal="center" vertical="center"/>
    </xf>
    <xf numFmtId="0" fontId="4" fillId="0" borderId="2" xfId="149" applyFont="1" applyFill="1" applyBorder="1" applyAlignment="1">
      <alignment horizontal="left" vertical="center" wrapText="1"/>
    </xf>
    <xf numFmtId="1" fontId="6" fillId="0" borderId="0" xfId="149" applyNumberFormat="1" applyFont="1" applyFill="1" applyAlignment="1">
      <alignment horizontal="center" vertical="center"/>
    </xf>
    <xf numFmtId="0" fontId="6" fillId="0" borderId="2" xfId="96" applyFont="1" applyFill="1" applyBorder="1" applyAlignment="1">
      <alignment horizontal="left" vertical="center"/>
    </xf>
    <xf numFmtId="0" fontId="6" fillId="0" borderId="2" xfId="96" applyFont="1" applyFill="1" applyBorder="1" applyAlignment="1">
      <alignment horizontal="center" vertical="center"/>
    </xf>
    <xf numFmtId="49" fontId="6" fillId="0" borderId="2" xfId="149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96" applyFont="1" applyFill="1" applyBorder="1" applyAlignment="1">
      <alignment horizontal="left" vertical="center" wrapText="1"/>
    </xf>
    <xf numFmtId="182" fontId="6" fillId="0" borderId="4" xfId="149" applyNumberFormat="1" applyFont="1" applyFill="1" applyBorder="1" applyAlignment="1">
      <alignment horizontal="center" vertical="center"/>
    </xf>
    <xf numFmtId="0" fontId="6" fillId="3" borderId="2" xfId="149" applyFont="1" applyFill="1" applyBorder="1" applyAlignment="1">
      <alignment horizontal="left" vertical="center"/>
    </xf>
    <xf numFmtId="49" fontId="34" fillId="0" borderId="2" xfId="149" applyNumberFormat="1" applyFont="1" applyFill="1" applyBorder="1" applyAlignment="1">
      <alignment horizontal="center" vertical="center"/>
    </xf>
    <xf numFmtId="0" fontId="35" fillId="0" borderId="2" xfId="149" applyFont="1" applyFill="1" applyBorder="1" applyAlignment="1">
      <alignment horizontal="left" vertical="center"/>
    </xf>
    <xf numFmtId="0" fontId="34" fillId="0" borderId="2" xfId="96" applyNumberFormat="1" applyFont="1" applyFill="1" applyBorder="1" applyAlignment="1">
      <alignment horizontal="center" vertical="center"/>
    </xf>
    <xf numFmtId="0" fontId="34" fillId="0" borderId="2" xfId="0" applyNumberFormat="1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left" vertical="center"/>
    </xf>
    <xf numFmtId="0" fontId="34" fillId="0" borderId="2" xfId="96" applyFont="1" applyFill="1" applyBorder="1" applyAlignment="1">
      <alignment horizontal="left" vertical="center" wrapText="1"/>
    </xf>
    <xf numFmtId="0" fontId="34" fillId="0" borderId="2" xfId="96" applyFont="1" applyFill="1" applyBorder="1" applyAlignment="1">
      <alignment horizontal="center" vertical="center"/>
    </xf>
    <xf numFmtId="0" fontId="6" fillId="0" borderId="2" xfId="109" applyFont="1" applyFill="1" applyBorder="1" applyAlignment="1" applyProtection="1">
      <alignment horizontal="left" vertical="center" wrapText="1"/>
    </xf>
    <xf numFmtId="0" fontId="6" fillId="0" borderId="2" xfId="109" applyFont="1" applyFill="1" applyBorder="1" applyAlignment="1" applyProtection="1">
      <alignment horizontal="center" vertical="center"/>
    </xf>
    <xf numFmtId="182" fontId="6" fillId="0" borderId="24" xfId="0" applyNumberFormat="1" applyFont="1" applyFill="1" applyBorder="1" applyAlignment="1">
      <alignment horizontal="center" vertical="center"/>
    </xf>
    <xf numFmtId="0" fontId="6" fillId="3" borderId="2" xfId="149" applyFont="1" applyFill="1" applyBorder="1" applyAlignment="1">
      <alignment horizontal="center" vertical="center"/>
    </xf>
    <xf numFmtId="182" fontId="6" fillId="3" borderId="24" xfId="0" applyNumberFormat="1" applyFont="1" applyFill="1" applyBorder="1" applyAlignment="1">
      <alignment horizontal="center" vertical="center"/>
    </xf>
    <xf numFmtId="182" fontId="34" fillId="0" borderId="24" xfId="0" applyNumberFormat="1" applyFont="1" applyFill="1" applyBorder="1" applyAlignment="1">
      <alignment horizontal="center" vertical="center"/>
    </xf>
    <xf numFmtId="182" fontId="6" fillId="0" borderId="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/>
    </xf>
    <xf numFmtId="182" fontId="6" fillId="3" borderId="4" xfId="149" applyNumberFormat="1" applyFont="1" applyFill="1" applyBorder="1" applyAlignment="1">
      <alignment horizontal="center" vertical="center"/>
    </xf>
    <xf numFmtId="182" fontId="4" fillId="0" borderId="4" xfId="149" applyNumberFormat="1" applyFont="1" applyFill="1" applyBorder="1" applyAlignment="1">
      <alignment horizontal="center" vertical="center"/>
    </xf>
    <xf numFmtId="182" fontId="4" fillId="0" borderId="2" xfId="149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182" fontId="6" fillId="0" borderId="2" xfId="149" applyNumberFormat="1" applyFont="1" applyFill="1" applyBorder="1" applyAlignment="1">
      <alignment horizontal="left" vertical="center"/>
    </xf>
    <xf numFmtId="186" fontId="6" fillId="0" borderId="4" xfId="14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86" fontId="6" fillId="0" borderId="2" xfId="149" applyNumberFormat="1" applyFont="1" applyFill="1" applyBorder="1" applyAlignment="1">
      <alignment horizontal="center" vertical="center"/>
    </xf>
    <xf numFmtId="182" fontId="6" fillId="0" borderId="2" xfId="0" applyNumberFormat="1" applyFont="1" applyFill="1" applyBorder="1" applyAlignment="1">
      <alignment horizontal="left" vertical="center"/>
    </xf>
    <xf numFmtId="0" fontId="6" fillId="0" borderId="2" xfId="112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2" xfId="47" applyFont="1" applyFill="1" applyBorder="1" applyAlignment="1">
      <alignment horizontal="left" vertical="center"/>
    </xf>
    <xf numFmtId="0" fontId="6" fillId="0" borderId="2" xfId="47" applyFont="1" applyFill="1" applyBorder="1" applyAlignment="1">
      <alignment horizontal="center" vertical="center"/>
    </xf>
    <xf numFmtId="0" fontId="6" fillId="0" borderId="2" xfId="71" applyFont="1" applyFill="1" applyBorder="1" applyAlignment="1">
      <alignment horizontal="left" vertical="center"/>
    </xf>
    <xf numFmtId="0" fontId="6" fillId="0" borderId="2" xfId="71" applyFont="1" applyFill="1" applyBorder="1" applyAlignment="1">
      <alignment horizontal="center" vertical="center"/>
    </xf>
    <xf numFmtId="0" fontId="6" fillId="0" borderId="2" xfId="98" applyFont="1" applyFill="1" applyBorder="1" applyAlignment="1">
      <alignment horizontal="left" vertical="center"/>
    </xf>
    <xf numFmtId="179" fontId="6" fillId="0" borderId="2" xfId="68" applyNumberFormat="1" applyFont="1" applyFill="1" applyBorder="1" applyAlignment="1">
      <alignment horizontal="center" vertical="center" wrapText="1"/>
    </xf>
    <xf numFmtId="0" fontId="6" fillId="0" borderId="2" xfId="118" applyFont="1" applyFill="1" applyBorder="1" applyAlignment="1">
      <alignment horizontal="center" vertical="center" wrapText="1"/>
    </xf>
    <xf numFmtId="182" fontId="6" fillId="0" borderId="2" xfId="107" applyNumberFormat="1" applyFont="1" applyFill="1" applyBorder="1" applyAlignment="1">
      <alignment horizontal="center" vertical="center" wrapText="1"/>
    </xf>
    <xf numFmtId="182" fontId="6" fillId="0" borderId="2" xfId="17" applyNumberFormat="1" applyFont="1" applyFill="1" applyBorder="1" applyAlignment="1">
      <alignment horizontal="center" vertical="center"/>
    </xf>
    <xf numFmtId="0" fontId="6" fillId="0" borderId="2" xfId="17" applyFont="1" applyFill="1" applyBorder="1" applyAlignment="1">
      <alignment horizontal="left" vertical="center"/>
    </xf>
    <xf numFmtId="179" fontId="6" fillId="0" borderId="2" xfId="17" applyNumberFormat="1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9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2" fontId="6" fillId="0" borderId="2" xfId="149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86" fontId="6" fillId="0" borderId="0" xfId="0" applyNumberFormat="1" applyFont="1" applyFill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34" fillId="0" borderId="2" xfId="0" applyNumberFormat="1" applyFont="1" applyFill="1" applyBorder="1" applyAlignment="1">
      <alignment horizontal="center" vertical="center"/>
    </xf>
    <xf numFmtId="0" fontId="6" fillId="0" borderId="2" xfId="144" applyFont="1" applyFill="1" applyBorder="1" applyAlignment="1">
      <alignment horizontal="left" vertical="center"/>
    </xf>
    <xf numFmtId="10" fontId="6" fillId="0" borderId="2" xfId="143" applyNumberFormat="1" applyFont="1" applyFill="1" applyBorder="1" applyAlignment="1">
      <alignment horizontal="center" vertical="center"/>
    </xf>
    <xf numFmtId="186" fontId="34" fillId="0" borderId="2" xfId="0" applyNumberFormat="1" applyFont="1" applyFill="1" applyBorder="1" applyAlignment="1">
      <alignment horizontal="center" vertical="center"/>
    </xf>
    <xf numFmtId="181" fontId="34" fillId="0" borderId="2" xfId="0" applyNumberFormat="1" applyFont="1" applyFill="1" applyBorder="1" applyAlignment="1">
      <alignment horizontal="center" vertical="center"/>
    </xf>
    <xf numFmtId="186" fontId="6" fillId="19" borderId="2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/>
    </xf>
    <xf numFmtId="178" fontId="15" fillId="0" borderId="0" xfId="5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2" fontId="31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center" wrapText="1"/>
    </xf>
    <xf numFmtId="2" fontId="32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31" fillId="0" borderId="2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justify" vertical="center" wrapText="1"/>
    </xf>
    <xf numFmtId="0" fontId="32" fillId="0" borderId="2" xfId="101" applyFont="1" applyFill="1" applyBorder="1" applyAlignment="1">
      <alignment horizontal="center" vertical="center"/>
    </xf>
    <xf numFmtId="0" fontId="32" fillId="0" borderId="2" xfId="10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justify" vertical="center"/>
    </xf>
    <xf numFmtId="182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182" fontId="34" fillId="0" borderId="2" xfId="0" applyNumberFormat="1" applyFont="1" applyFill="1" applyBorder="1" applyAlignment="1">
      <alignment horizontal="center" vertical="center"/>
    </xf>
    <xf numFmtId="0" fontId="6" fillId="21" borderId="2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center" vertical="center"/>
    </xf>
    <xf numFmtId="0" fontId="6" fillId="0" borderId="4" xfId="149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 horizontal="right"/>
    </xf>
    <xf numFmtId="0" fontId="33" fillId="4" borderId="2" xfId="0" applyFont="1" applyFill="1" applyBorder="1" applyAlignment="1">
      <alignment horizontal="left" vertical="center"/>
    </xf>
    <xf numFmtId="185" fontId="6" fillId="23" borderId="2" xfId="0" applyNumberFormat="1" applyFont="1" applyFill="1" applyBorder="1" applyAlignment="1">
      <alignment horizontal="center" vertical="center"/>
    </xf>
    <xf numFmtId="0" fontId="5" fillId="0" borderId="0" xfId="0" applyFont="1" applyFill="1"/>
    <xf numFmtId="179" fontId="34" fillId="0" borderId="2" xfId="149" applyNumberFormat="1" applyFont="1" applyFill="1" applyBorder="1" applyAlignment="1">
      <alignment horizontal="center" vertical="center"/>
    </xf>
    <xf numFmtId="180" fontId="34" fillId="0" borderId="2" xfId="149" applyNumberFormat="1" applyFont="1" applyFill="1" applyBorder="1" applyAlignment="1">
      <alignment horizontal="center" vertical="center"/>
    </xf>
    <xf numFmtId="179" fontId="38" fillId="0" borderId="2" xfId="149" applyNumberFormat="1" applyFont="1" applyFill="1" applyBorder="1" applyAlignment="1">
      <alignment horizontal="center" vertical="center"/>
    </xf>
    <xf numFmtId="180" fontId="38" fillId="0" borderId="2" xfId="149" applyNumberFormat="1" applyFont="1" applyFill="1" applyBorder="1" applyAlignment="1">
      <alignment horizontal="center" vertical="center"/>
    </xf>
    <xf numFmtId="179" fontId="34" fillId="0" borderId="2" xfId="96" applyNumberFormat="1" applyFont="1" applyFill="1" applyBorder="1" applyAlignment="1">
      <alignment horizontal="center" vertical="center"/>
    </xf>
    <xf numFmtId="180" fontId="34" fillId="0" borderId="2" xfId="96" applyNumberFormat="1" applyFont="1" applyFill="1" applyBorder="1" applyAlignment="1">
      <alignment horizontal="center" vertical="center"/>
    </xf>
    <xf numFmtId="0" fontId="6" fillId="8" borderId="2" xfId="149" applyFont="1" applyFill="1" applyBorder="1" applyAlignment="1">
      <alignment horizontal="center" vertical="center"/>
    </xf>
    <xf numFmtId="0" fontId="6" fillId="8" borderId="2" xfId="96" applyFont="1" applyFill="1" applyBorder="1" applyAlignment="1">
      <alignment horizontal="left" vertical="center"/>
    </xf>
    <xf numFmtId="0" fontId="6" fillId="8" borderId="2" xfId="96" applyFont="1" applyFill="1" applyBorder="1" applyAlignment="1">
      <alignment horizontal="center" vertical="center"/>
    </xf>
    <xf numFmtId="179" fontId="34" fillId="8" borderId="2" xfId="96" applyNumberFormat="1" applyFont="1" applyFill="1" applyBorder="1" applyAlignment="1">
      <alignment horizontal="center" vertical="center"/>
    </xf>
    <xf numFmtId="180" fontId="34" fillId="8" borderId="2" xfId="96" applyNumberFormat="1" applyFont="1" applyFill="1" applyBorder="1" applyAlignment="1">
      <alignment horizontal="center" vertical="center"/>
    </xf>
    <xf numFmtId="182" fontId="6" fillId="8" borderId="2" xfId="149" applyNumberFormat="1" applyFont="1" applyFill="1" applyBorder="1" applyAlignment="1">
      <alignment horizontal="center" vertical="center"/>
    </xf>
    <xf numFmtId="179" fontId="34" fillId="0" borderId="2" xfId="0" applyNumberFormat="1" applyFont="1" applyFill="1" applyBorder="1" applyAlignment="1">
      <alignment horizontal="center" vertical="center"/>
    </xf>
    <xf numFmtId="180" fontId="34" fillId="0" borderId="2" xfId="0" applyNumberFormat="1" applyFont="1" applyFill="1" applyBorder="1" applyAlignment="1">
      <alignment horizontal="center" vertical="center"/>
    </xf>
    <xf numFmtId="182" fontId="6" fillId="19" borderId="2" xfId="149" applyNumberFormat="1" applyFont="1" applyFill="1" applyBorder="1" applyAlignment="1">
      <alignment horizontal="center" vertical="center"/>
    </xf>
    <xf numFmtId="179" fontId="34" fillId="0" borderId="2" xfId="0" applyNumberFormat="1" applyFont="1" applyFill="1" applyBorder="1" applyAlignment="1" applyProtection="1">
      <alignment horizontal="center" vertical="center"/>
    </xf>
    <xf numFmtId="180" fontId="34" fillId="0" borderId="2" xfId="0" applyNumberFormat="1" applyFont="1" applyFill="1" applyBorder="1" applyAlignment="1" applyProtection="1">
      <alignment horizontal="center" vertical="center"/>
    </xf>
    <xf numFmtId="182" fontId="6" fillId="24" borderId="2" xfId="149" applyNumberFormat="1" applyFont="1" applyFill="1" applyBorder="1" applyAlignment="1">
      <alignment horizontal="center" vertical="center"/>
    </xf>
    <xf numFmtId="179" fontId="34" fillId="0" borderId="2" xfId="0" applyNumberFormat="1" applyFont="1" applyFill="1" applyBorder="1" applyAlignment="1" applyProtection="1">
      <alignment horizontal="center" vertical="center" wrapText="1"/>
    </xf>
    <xf numFmtId="180" fontId="34" fillId="0" borderId="2" xfId="0" applyNumberFormat="1" applyFont="1" applyFill="1" applyBorder="1" applyAlignment="1" applyProtection="1">
      <alignment horizontal="center" vertical="center" wrapText="1"/>
    </xf>
    <xf numFmtId="179" fontId="34" fillId="0" borderId="2" xfId="109" applyNumberFormat="1" applyFont="1" applyFill="1" applyBorder="1" applyAlignment="1" applyProtection="1">
      <alignment horizontal="center" vertical="center"/>
    </xf>
    <xf numFmtId="180" fontId="34" fillId="0" borderId="2" xfId="109" applyNumberFormat="1" applyFont="1" applyFill="1" applyBorder="1" applyAlignment="1" applyProtection="1">
      <alignment horizontal="center" vertical="center"/>
    </xf>
    <xf numFmtId="1" fontId="6" fillId="8" borderId="2" xfId="149" applyNumberFormat="1" applyFont="1" applyFill="1" applyBorder="1" applyAlignment="1">
      <alignment horizontal="center" vertical="center"/>
    </xf>
    <xf numFmtId="182" fontId="6" fillId="7" borderId="2" xfId="149" applyNumberFormat="1" applyFont="1" applyFill="1" applyBorder="1" applyAlignment="1">
      <alignment horizontal="center" vertical="center"/>
    </xf>
    <xf numFmtId="182" fontId="6" fillId="4" borderId="2" xfId="149" applyNumberFormat="1" applyFont="1" applyFill="1" applyBorder="1" applyAlignment="1">
      <alignment horizontal="center" vertical="center"/>
    </xf>
    <xf numFmtId="0" fontId="6" fillId="8" borderId="2" xfId="149" applyFont="1" applyFill="1" applyBorder="1" applyAlignment="1">
      <alignment horizontal="left" vertical="center"/>
    </xf>
    <xf numFmtId="179" fontId="34" fillId="8" borderId="2" xfId="149" applyNumberFormat="1" applyFont="1" applyFill="1" applyBorder="1" applyAlignment="1">
      <alignment horizontal="center" vertical="center"/>
    </xf>
    <xf numFmtId="180" fontId="34" fillId="8" borderId="2" xfId="149" applyNumberFormat="1" applyFont="1" applyFill="1" applyBorder="1" applyAlignment="1">
      <alignment horizontal="center" vertical="center"/>
    </xf>
    <xf numFmtId="182" fontId="6" fillId="8" borderId="4" xfId="149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179" fontId="34" fillId="8" borderId="2" xfId="0" applyNumberFormat="1" applyFont="1" applyFill="1" applyBorder="1" applyAlignment="1">
      <alignment horizontal="center" vertical="center"/>
    </xf>
    <xf numFmtId="180" fontId="34" fillId="8" borderId="2" xfId="0" applyNumberFormat="1" applyFont="1" applyFill="1" applyBorder="1" applyAlignment="1">
      <alignment horizontal="center" vertical="center"/>
    </xf>
    <xf numFmtId="182" fontId="6" fillId="25" borderId="2" xfId="149" applyNumberFormat="1" applyFont="1" applyFill="1" applyBorder="1" applyAlignment="1">
      <alignment horizontal="center" vertical="center"/>
    </xf>
    <xf numFmtId="179" fontId="38" fillId="0" borderId="2" xfId="0" applyNumberFormat="1" applyFont="1" applyFill="1" applyBorder="1" applyAlignment="1">
      <alignment horizontal="center" vertical="center" wrapText="1"/>
    </xf>
    <xf numFmtId="180" fontId="38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/>
    </xf>
    <xf numFmtId="182" fontId="6" fillId="23" borderId="2" xfId="149" applyNumberFormat="1" applyFont="1" applyFill="1" applyBorder="1" applyAlignment="1">
      <alignment horizontal="center" vertical="center"/>
    </xf>
    <xf numFmtId="179" fontId="34" fillId="0" borderId="2" xfId="112" applyNumberFormat="1" applyFont="1" applyFill="1" applyBorder="1" applyAlignment="1">
      <alignment horizontal="center" vertical="center"/>
    </xf>
    <xf numFmtId="180" fontId="34" fillId="0" borderId="2" xfId="112" applyNumberFormat="1" applyFont="1" applyFill="1" applyBorder="1" applyAlignment="1">
      <alignment horizontal="center" vertical="center"/>
    </xf>
    <xf numFmtId="182" fontId="6" fillId="26" borderId="2" xfId="149" applyNumberFormat="1" applyFont="1" applyFill="1" applyBorder="1" applyAlignment="1">
      <alignment horizontal="center" vertical="center"/>
    </xf>
    <xf numFmtId="179" fontId="34" fillId="0" borderId="2" xfId="47" applyNumberFormat="1" applyFont="1" applyFill="1" applyBorder="1" applyAlignment="1">
      <alignment horizontal="center" vertical="center"/>
    </xf>
    <xf numFmtId="180" fontId="34" fillId="0" borderId="2" xfId="47" applyNumberFormat="1" applyFont="1" applyFill="1" applyBorder="1" applyAlignment="1">
      <alignment horizontal="center" vertical="center"/>
    </xf>
    <xf numFmtId="0" fontId="6" fillId="3" borderId="2" xfId="47" applyFont="1" applyFill="1" applyBorder="1" applyAlignment="1">
      <alignment horizontal="left" vertical="center"/>
    </xf>
    <xf numFmtId="0" fontId="6" fillId="3" borderId="2" xfId="71" applyFont="1" applyFill="1" applyBorder="1" applyAlignment="1">
      <alignment horizontal="left" vertical="center"/>
    </xf>
    <xf numFmtId="0" fontId="6" fillId="3" borderId="2" xfId="71" applyFont="1" applyFill="1" applyBorder="1" applyAlignment="1">
      <alignment horizontal="center" vertical="center"/>
    </xf>
    <xf numFmtId="179" fontId="34" fillId="0" borderId="2" xfId="68" applyNumberFormat="1" applyFont="1" applyFill="1" applyBorder="1" applyAlignment="1">
      <alignment horizontal="center" vertical="center" wrapText="1"/>
    </xf>
    <xf numFmtId="180" fontId="34" fillId="0" borderId="2" xfId="68" applyNumberFormat="1" applyFont="1" applyFill="1" applyBorder="1" applyAlignment="1">
      <alignment horizontal="center" vertical="center" wrapText="1"/>
    </xf>
    <xf numFmtId="179" fontId="34" fillId="0" borderId="2" xfId="118" applyNumberFormat="1" applyFont="1" applyFill="1" applyBorder="1" applyAlignment="1">
      <alignment horizontal="center" vertical="center" wrapText="1"/>
    </xf>
    <xf numFmtId="180" fontId="34" fillId="0" borderId="2" xfId="118" applyNumberFormat="1" applyFont="1" applyFill="1" applyBorder="1" applyAlignment="1">
      <alignment horizontal="center" vertical="center" wrapText="1"/>
    </xf>
    <xf numFmtId="179" fontId="34" fillId="0" borderId="2" xfId="107" applyNumberFormat="1" applyFont="1" applyFill="1" applyBorder="1" applyAlignment="1">
      <alignment horizontal="center" vertical="center" wrapText="1"/>
    </xf>
    <xf numFmtId="180" fontId="34" fillId="0" borderId="2" xfId="107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/>
    <xf numFmtId="182" fontId="5" fillId="0" borderId="0" xfId="0" applyNumberFormat="1" applyFont="1" applyFill="1"/>
    <xf numFmtId="179" fontId="5" fillId="0" borderId="0" xfId="0" applyNumberFormat="1" applyFont="1" applyFill="1"/>
    <xf numFmtId="179" fontId="34" fillId="0" borderId="2" xfId="17" applyNumberFormat="1" applyFont="1" applyFill="1" applyBorder="1" applyAlignment="1">
      <alignment horizontal="center" vertical="center"/>
    </xf>
    <xf numFmtId="180" fontId="34" fillId="0" borderId="2" xfId="17" applyNumberFormat="1" applyFont="1" applyFill="1" applyBorder="1" applyAlignment="1">
      <alignment horizontal="center" vertical="center"/>
    </xf>
    <xf numFmtId="179" fontId="34" fillId="0" borderId="2" xfId="0" applyNumberFormat="1" applyFont="1" applyFill="1" applyBorder="1" applyAlignment="1">
      <alignment horizontal="center" vertical="center" wrapText="1"/>
    </xf>
    <xf numFmtId="180" fontId="34" fillId="0" borderId="2" xfId="0" applyNumberFormat="1" applyFont="1" applyFill="1" applyBorder="1" applyAlignment="1">
      <alignment horizontal="center" vertical="center" wrapText="1"/>
    </xf>
    <xf numFmtId="0" fontId="6" fillId="27" borderId="2" xfId="0" applyFont="1" applyFill="1" applyBorder="1" applyAlignment="1">
      <alignment horizontal="center" vertical="center" wrapText="1"/>
    </xf>
    <xf numFmtId="0" fontId="6" fillId="27" borderId="2" xfId="0" applyFont="1" applyFill="1" applyBorder="1" applyAlignment="1">
      <alignment horizontal="left" vertical="center" wrapText="1"/>
    </xf>
    <xf numFmtId="179" fontId="34" fillId="27" borderId="2" xfId="0" applyNumberFormat="1" applyFont="1" applyFill="1" applyBorder="1" applyAlignment="1">
      <alignment horizontal="center" vertical="center" wrapText="1"/>
    </xf>
    <xf numFmtId="180" fontId="34" fillId="27" borderId="2" xfId="0" applyNumberFormat="1" applyFont="1" applyFill="1" applyBorder="1" applyAlignment="1">
      <alignment horizontal="center" vertical="center" wrapText="1"/>
    </xf>
    <xf numFmtId="182" fontId="6" fillId="27" borderId="2" xfId="0" applyNumberFormat="1" applyFont="1" applyFill="1" applyBorder="1" applyAlignment="1">
      <alignment horizontal="center" vertical="center" wrapText="1"/>
    </xf>
    <xf numFmtId="182" fontId="6" fillId="27" borderId="2" xfId="149" applyNumberFormat="1" applyFont="1" applyFill="1" applyBorder="1" applyAlignment="1">
      <alignment horizontal="center" vertical="center"/>
    </xf>
    <xf numFmtId="182" fontId="6" fillId="28" borderId="2" xfId="149" applyNumberFormat="1" applyFont="1" applyFill="1" applyBorder="1" applyAlignment="1">
      <alignment horizontal="center" vertical="center"/>
    </xf>
    <xf numFmtId="0" fontId="0" fillId="0" borderId="0" xfId="0" applyNumberFormat="1" applyFill="1"/>
    <xf numFmtId="182" fontId="0" fillId="0" borderId="0" xfId="0" applyNumberFormat="1" applyFill="1"/>
    <xf numFmtId="9" fontId="0" fillId="0" borderId="0" xfId="0" applyNumberFormat="1" applyFill="1"/>
    <xf numFmtId="49" fontId="0" fillId="0" borderId="0" xfId="0" applyNumberFormat="1" applyFill="1"/>
    <xf numFmtId="1" fontId="6" fillId="27" borderId="2" xfId="149" applyNumberFormat="1" applyFont="1" applyFill="1" applyBorder="1" applyAlignment="1">
      <alignment horizontal="center" vertical="center"/>
    </xf>
    <xf numFmtId="0" fontId="6" fillId="29" borderId="2" xfId="0" applyFont="1" applyFill="1" applyBorder="1" applyAlignment="1">
      <alignment horizontal="center" vertical="center" wrapText="1"/>
    </xf>
    <xf numFmtId="0" fontId="6" fillId="29" borderId="2" xfId="0" applyFont="1" applyFill="1" applyBorder="1" applyAlignment="1">
      <alignment horizontal="left" vertical="center" wrapText="1"/>
    </xf>
    <xf numFmtId="179" fontId="34" fillId="29" borderId="2" xfId="0" applyNumberFormat="1" applyFont="1" applyFill="1" applyBorder="1" applyAlignment="1">
      <alignment horizontal="center" vertical="center" wrapText="1"/>
    </xf>
    <xf numFmtId="180" fontId="34" fillId="29" borderId="2" xfId="0" applyNumberFormat="1" applyFont="1" applyFill="1" applyBorder="1" applyAlignment="1">
      <alignment horizontal="center" vertical="center" wrapText="1"/>
    </xf>
    <xf numFmtId="182" fontId="6" fillId="29" borderId="2" xfId="149" applyNumberFormat="1" applyFont="1" applyFill="1" applyBorder="1" applyAlignment="1">
      <alignment horizontal="center" vertical="center"/>
    </xf>
    <xf numFmtId="1" fontId="6" fillId="29" borderId="2" xfId="149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/>
    </xf>
    <xf numFmtId="180" fontId="6" fillId="0" borderId="2" xfId="143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2" fontId="38" fillId="0" borderId="2" xfId="0" applyNumberFormat="1" applyFont="1" applyBorder="1" applyAlignment="1">
      <alignment horizontal="center" vertical="center" wrapText="1"/>
    </xf>
    <xf numFmtId="182" fontId="34" fillId="0" borderId="2" xfId="0" applyNumberFormat="1" applyFont="1" applyBorder="1" applyAlignment="1">
      <alignment horizontal="center" vertical="center" wrapText="1"/>
    </xf>
    <xf numFmtId="182" fontId="38" fillId="0" borderId="2" xfId="0" applyNumberFormat="1" applyFont="1" applyFill="1" applyBorder="1" applyAlignment="1">
      <alignment horizontal="center" vertical="center"/>
    </xf>
    <xf numFmtId="182" fontId="38" fillId="0" borderId="2" xfId="0" applyNumberFormat="1" applyFont="1" applyBorder="1" applyAlignment="1">
      <alignment horizontal="center" vertical="center"/>
    </xf>
    <xf numFmtId="182" fontId="38" fillId="0" borderId="2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horizontal="center" vertical="center"/>
    </xf>
    <xf numFmtId="0" fontId="15" fillId="0" borderId="0" xfId="125" applyFont="1" applyFill="1" applyBorder="1" applyAlignment="1">
      <alignment horizontal="center" vertical="center"/>
    </xf>
    <xf numFmtId="179" fontId="15" fillId="0" borderId="0" xfId="125" applyNumberFormat="1" applyFont="1" applyFill="1" applyBorder="1" applyAlignment="1">
      <alignment horizontal="center" vertical="center"/>
    </xf>
    <xf numFmtId="0" fontId="0" fillId="0" borderId="0" xfId="99" applyFont="1" applyFill="1" applyBorder="1" applyAlignment="1"/>
    <xf numFmtId="179" fontId="0" fillId="0" borderId="0" xfId="99" applyNumberFormat="1" applyFont="1" applyFill="1" applyBorder="1" applyAlignment="1"/>
    <xf numFmtId="179" fontId="6" fillId="0" borderId="1" xfId="99" applyNumberFormat="1" applyFont="1" applyFill="1" applyBorder="1" applyAlignment="1">
      <alignment horizontal="center" vertical="center"/>
    </xf>
    <xf numFmtId="0" fontId="6" fillId="0" borderId="2" xfId="99" applyFont="1" applyFill="1" applyBorder="1" applyAlignment="1">
      <alignment horizontal="center" vertical="center"/>
    </xf>
    <xf numFmtId="179" fontId="6" fillId="0" borderId="2" xfId="99" applyNumberFormat="1" applyFont="1" applyFill="1" applyBorder="1" applyAlignment="1">
      <alignment horizontal="center" vertical="center" wrapText="1"/>
    </xf>
    <xf numFmtId="179" fontId="6" fillId="0" borderId="6" xfId="99" applyNumberFormat="1" applyFont="1" applyFill="1" applyBorder="1" applyAlignment="1">
      <alignment horizontal="center" vertical="center" wrapText="1"/>
    </xf>
    <xf numFmtId="179" fontId="6" fillId="0" borderId="6" xfId="99" applyNumberFormat="1" applyFont="1" applyFill="1" applyBorder="1" applyAlignment="1">
      <alignment horizontal="center" vertical="center"/>
    </xf>
    <xf numFmtId="179" fontId="6" fillId="0" borderId="7" xfId="99" applyNumberFormat="1" applyFont="1" applyFill="1" applyBorder="1" applyAlignment="1">
      <alignment horizontal="center" vertical="center" wrapText="1"/>
    </xf>
    <xf numFmtId="179" fontId="6" fillId="0" borderId="7" xfId="99" applyNumberFormat="1" applyFont="1" applyFill="1" applyBorder="1" applyAlignment="1">
      <alignment horizontal="center" vertical="center"/>
    </xf>
    <xf numFmtId="0" fontId="4" fillId="0" borderId="3" xfId="99" applyFont="1" applyFill="1" applyBorder="1" applyAlignment="1">
      <alignment horizontal="center" vertical="center"/>
    </xf>
    <xf numFmtId="179" fontId="4" fillId="0" borderId="2" xfId="99" applyNumberFormat="1" applyFont="1" applyFill="1" applyBorder="1" applyAlignment="1">
      <alignment horizontal="center" vertical="center" wrapText="1"/>
    </xf>
    <xf numFmtId="179" fontId="4" fillId="0" borderId="2" xfId="99" applyNumberFormat="1" applyFont="1" applyFill="1" applyBorder="1" applyAlignment="1">
      <alignment horizontal="center" vertical="center"/>
    </xf>
    <xf numFmtId="0" fontId="4" fillId="0" borderId="4" xfId="99" applyFont="1" applyFill="1" applyBorder="1" applyAlignment="1">
      <alignment horizontal="center" vertical="center"/>
    </xf>
    <xf numFmtId="0" fontId="4" fillId="0" borderId="3" xfId="99" applyFont="1" applyFill="1" applyBorder="1" applyAlignment="1">
      <alignment horizontal="left" vertical="center"/>
    </xf>
    <xf numFmtId="0" fontId="6" fillId="0" borderId="2" xfId="99" applyFont="1" applyFill="1" applyBorder="1" applyAlignment="1">
      <alignment horizontal="left" vertical="center"/>
    </xf>
    <xf numFmtId="179" fontId="6" fillId="0" borderId="2" xfId="99" applyNumberFormat="1" applyFont="1" applyFill="1" applyBorder="1" applyAlignment="1">
      <alignment horizontal="center" vertical="center"/>
    </xf>
    <xf numFmtId="0" fontId="4" fillId="0" borderId="2" xfId="9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9" fontId="31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 wrapText="1"/>
    </xf>
    <xf numFmtId="179" fontId="32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center" vertical="center"/>
    </xf>
    <xf numFmtId="0" fontId="0" fillId="30" borderId="0" xfId="0" applyFill="1"/>
    <xf numFmtId="0" fontId="39" fillId="0" borderId="0" xfId="0" applyFont="1" applyAlignment="1">
      <alignment horizontal="center"/>
    </xf>
    <xf numFmtId="0" fontId="39" fillId="0" borderId="0" xfId="145" applyFont="1" applyFill="1" applyAlignment="1">
      <alignment horizontal="center" vertical="center"/>
    </xf>
    <xf numFmtId="0" fontId="0" fillId="0" borderId="0" xfId="145" applyFont="1" applyFill="1" applyAlignment="1">
      <alignment vertical="center"/>
    </xf>
    <xf numFmtId="0" fontId="0" fillId="30" borderId="0" xfId="145" applyFont="1" applyFill="1" applyAlignment="1">
      <alignment vertical="center"/>
    </xf>
    <xf numFmtId="0" fontId="6" fillId="0" borderId="2" xfId="145" applyFont="1" applyFill="1" applyBorder="1" applyAlignment="1">
      <alignment horizontal="center" vertical="center"/>
    </xf>
    <xf numFmtId="0" fontId="6" fillId="30" borderId="3" xfId="145" applyFont="1" applyFill="1" applyBorder="1" applyAlignment="1">
      <alignment horizontal="center" vertical="center"/>
    </xf>
    <xf numFmtId="0" fontId="6" fillId="30" borderId="4" xfId="145" applyFont="1" applyFill="1" applyBorder="1" applyAlignment="1">
      <alignment horizontal="center" vertical="center"/>
    </xf>
    <xf numFmtId="182" fontId="4" fillId="30" borderId="3" xfId="145" applyNumberFormat="1" applyFont="1" applyFill="1" applyBorder="1" applyAlignment="1">
      <alignment horizontal="center" vertical="center"/>
    </xf>
    <xf numFmtId="182" fontId="4" fillId="30" borderId="4" xfId="145" applyNumberFormat="1" applyFont="1" applyFill="1" applyBorder="1" applyAlignment="1">
      <alignment horizontal="center" vertical="center"/>
    </xf>
    <xf numFmtId="182" fontId="6" fillId="0" borderId="2" xfId="145" applyNumberFormat="1" applyFont="1" applyFill="1" applyBorder="1" applyAlignment="1">
      <alignment horizontal="center" vertical="center"/>
    </xf>
    <xf numFmtId="0" fontId="6" fillId="0" borderId="2" xfId="145" applyFont="1" applyFill="1" applyBorder="1" applyAlignment="1">
      <alignment vertical="center"/>
    </xf>
    <xf numFmtId="182" fontId="6" fillId="30" borderId="3" xfId="145" applyNumberFormat="1" applyFont="1" applyFill="1" applyBorder="1" applyAlignment="1">
      <alignment horizontal="center" vertical="center"/>
    </xf>
    <xf numFmtId="182" fontId="6" fillId="30" borderId="4" xfId="145" applyNumberFormat="1" applyFont="1" applyFill="1" applyBorder="1" applyAlignment="1">
      <alignment horizontal="center" vertical="center"/>
    </xf>
    <xf numFmtId="179" fontId="6" fillId="0" borderId="2" xfId="145" applyNumberFormat="1" applyFont="1" applyFill="1" applyBorder="1" applyAlignment="1">
      <alignment horizontal="center" vertical="center"/>
    </xf>
    <xf numFmtId="0" fontId="6" fillId="0" borderId="2" xfId="145" applyFont="1" applyFill="1" applyBorder="1" applyAlignment="1">
      <alignment horizontal="center" vertical="center" wrapText="1"/>
    </xf>
    <xf numFmtId="0" fontId="6" fillId="0" borderId="2" xfId="145" applyFont="1" applyFill="1" applyBorder="1" applyAlignment="1">
      <alignment horizontal="left" vertical="center"/>
    </xf>
    <xf numFmtId="179" fontId="6" fillId="30" borderId="3" xfId="145" applyNumberFormat="1" applyFont="1" applyFill="1" applyBorder="1" applyAlignment="1">
      <alignment horizontal="center" vertical="center"/>
    </xf>
    <xf numFmtId="179" fontId="6" fillId="30" borderId="4" xfId="145" applyNumberFormat="1" applyFont="1" applyFill="1" applyBorder="1" applyAlignment="1">
      <alignment horizontal="center" vertical="center"/>
    </xf>
    <xf numFmtId="0" fontId="6" fillId="0" borderId="2" xfId="145" applyFont="1" applyFill="1" applyBorder="1" applyAlignment="1">
      <alignment horizontal="left" vertical="center" wrapText="1"/>
    </xf>
    <xf numFmtId="0" fontId="6" fillId="30" borderId="2" xfId="0" applyFont="1" applyFill="1" applyBorder="1" applyAlignment="1">
      <alignment horizontal="center" vertical="center" wrapText="1"/>
    </xf>
    <xf numFmtId="0" fontId="6" fillId="30" borderId="2" xfId="0" applyFont="1" applyFill="1" applyBorder="1" applyAlignment="1">
      <alignment horizontal="center" vertical="center"/>
    </xf>
    <xf numFmtId="182" fontId="6" fillId="14" borderId="3" xfId="145" applyNumberFormat="1" applyFont="1" applyFill="1" applyBorder="1" applyAlignment="1">
      <alignment horizontal="center" vertical="center"/>
    </xf>
    <xf numFmtId="182" fontId="6" fillId="14" borderId="4" xfId="145" applyNumberFormat="1" applyFont="1" applyFill="1" applyBorder="1" applyAlignment="1">
      <alignment horizontal="center" vertical="center"/>
    </xf>
    <xf numFmtId="10" fontId="6" fillId="0" borderId="3" xfId="86" applyNumberFormat="1" applyFont="1" applyFill="1" applyBorder="1" applyAlignment="1">
      <alignment horizontal="center" vertical="center"/>
    </xf>
    <xf numFmtId="10" fontId="6" fillId="0" borderId="4" xfId="86" applyNumberFormat="1" applyFont="1" applyFill="1" applyBorder="1" applyAlignment="1">
      <alignment horizontal="center" vertical="center"/>
    </xf>
    <xf numFmtId="10" fontId="6" fillId="30" borderId="2" xfId="14" applyNumberFormat="1" applyFont="1" applyFill="1" applyBorder="1" applyAlignment="1">
      <alignment horizontal="center" vertical="center"/>
    </xf>
    <xf numFmtId="182" fontId="6" fillId="30" borderId="2" xfId="14" applyNumberFormat="1" applyFont="1" applyFill="1" applyBorder="1" applyAlignment="1">
      <alignment horizontal="center" vertical="center"/>
    </xf>
    <xf numFmtId="0" fontId="4" fillId="0" borderId="2" xfId="145" applyFont="1" applyFill="1" applyBorder="1" applyAlignment="1">
      <alignment horizontal="center" vertical="center"/>
    </xf>
    <xf numFmtId="9" fontId="6" fillId="30" borderId="3" xfId="14" applyFont="1" applyFill="1" applyBorder="1" applyAlignment="1">
      <alignment horizontal="center" vertical="center"/>
    </xf>
    <xf numFmtId="9" fontId="6" fillId="30" borderId="4" xfId="14" applyFont="1" applyFill="1" applyBorder="1" applyAlignment="1">
      <alignment horizontal="center" vertical="center"/>
    </xf>
    <xf numFmtId="182" fontId="6" fillId="0" borderId="2" xfId="14" applyNumberFormat="1" applyFont="1" applyFill="1" applyBorder="1" applyAlignment="1">
      <alignment horizontal="center" vertical="center"/>
    </xf>
    <xf numFmtId="10" fontId="6" fillId="30" borderId="3" xfId="14" applyNumberFormat="1" applyFont="1" applyFill="1" applyBorder="1" applyAlignment="1">
      <alignment horizontal="center" vertical="center"/>
    </xf>
    <xf numFmtId="10" fontId="6" fillId="30" borderId="4" xfId="14" applyNumberFormat="1" applyFont="1" applyFill="1" applyBorder="1" applyAlignment="1">
      <alignment horizontal="center" vertical="center"/>
    </xf>
    <xf numFmtId="182" fontId="6" fillId="30" borderId="3" xfId="14" applyNumberFormat="1" applyFont="1" applyFill="1" applyBorder="1" applyAlignment="1">
      <alignment horizontal="center" vertical="center"/>
    </xf>
    <xf numFmtId="182" fontId="6" fillId="30" borderId="4" xfId="14" applyNumberFormat="1" applyFont="1" applyFill="1" applyBorder="1" applyAlignment="1">
      <alignment horizontal="center" vertical="center"/>
    </xf>
    <xf numFmtId="182" fontId="4" fillId="30" borderId="2" xfId="145" applyNumberFormat="1" applyFont="1" applyFill="1" applyBorder="1" applyAlignment="1">
      <alignment horizontal="center" vertical="center" wrapText="1"/>
    </xf>
    <xf numFmtId="0" fontId="40" fillId="0" borderId="2" xfId="145" applyFont="1" applyFill="1" applyBorder="1" applyAlignment="1">
      <alignment horizontal="center" vertical="center" wrapText="1"/>
    </xf>
    <xf numFmtId="0" fontId="40" fillId="0" borderId="2" xfId="145" applyFont="1" applyFill="1" applyBorder="1" applyAlignment="1">
      <alignment horizontal="center" vertical="center"/>
    </xf>
    <xf numFmtId="10" fontId="6" fillId="30" borderId="2" xfId="85" applyNumberFormat="1" applyFont="1" applyFill="1" applyBorder="1" applyAlignment="1">
      <alignment horizontal="center" vertical="center"/>
    </xf>
    <xf numFmtId="0" fontId="4" fillId="30" borderId="4" xfId="145" applyNumberFormat="1" applyFont="1" applyFill="1" applyBorder="1" applyAlignment="1">
      <alignment horizontal="center" vertical="center"/>
    </xf>
    <xf numFmtId="181" fontId="0" fillId="0" borderId="0" xfId="145" applyNumberFormat="1" applyFont="1" applyAlignment="1">
      <alignment vertical="center"/>
    </xf>
    <xf numFmtId="186" fontId="0" fillId="0" borderId="0" xfId="145" applyNumberFormat="1" applyFont="1" applyAlignment="1">
      <alignment vertical="center"/>
    </xf>
    <xf numFmtId="0" fontId="0" fillId="0" borderId="0" xfId="145" applyFont="1" applyAlignment="1">
      <alignment vertical="center"/>
    </xf>
    <xf numFmtId="182" fontId="4" fillId="30" borderId="3" xfId="14" applyNumberFormat="1" applyFont="1" applyFill="1" applyBorder="1" applyAlignment="1">
      <alignment horizontal="center" vertical="center"/>
    </xf>
    <xf numFmtId="182" fontId="4" fillId="30" borderId="4" xfId="14" applyNumberFormat="1" applyFont="1" applyFill="1" applyBorder="1" applyAlignment="1">
      <alignment horizontal="center" vertical="center"/>
    </xf>
    <xf numFmtId="0" fontId="6" fillId="30" borderId="2" xfId="145" applyFont="1" applyFill="1" applyBorder="1" applyAlignment="1">
      <alignment horizontal="center" vertical="center" wrapText="1"/>
    </xf>
    <xf numFmtId="0" fontId="40" fillId="0" borderId="3" xfId="145" applyFont="1" applyFill="1" applyBorder="1" applyAlignment="1">
      <alignment horizontal="center" vertical="center" wrapText="1"/>
    </xf>
    <xf numFmtId="0" fontId="40" fillId="0" borderId="20" xfId="145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82" fontId="6" fillId="0" borderId="2" xfId="0" applyNumberFormat="1" applyFont="1" applyFill="1" applyBorder="1" applyAlignment="1">
      <alignment horizontal="right" vertical="center" wrapText="1"/>
    </xf>
    <xf numFmtId="182" fontId="6" fillId="0" borderId="3" xfId="0" applyNumberFormat="1" applyFont="1" applyFill="1" applyBorder="1" applyAlignment="1">
      <alignment horizontal="center" vertical="center"/>
    </xf>
    <xf numFmtId="182" fontId="6" fillId="0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182" fontId="6" fillId="4" borderId="3" xfId="0" applyNumberFormat="1" applyFont="1" applyFill="1" applyBorder="1" applyAlignment="1">
      <alignment horizontal="center" vertical="center"/>
    </xf>
    <xf numFmtId="182" fontId="6" fillId="4" borderId="4" xfId="0" applyNumberFormat="1" applyFont="1" applyFill="1" applyBorder="1" applyAlignment="1">
      <alignment horizontal="center" vertical="center"/>
    </xf>
    <xf numFmtId="10" fontId="6" fillId="0" borderId="3" xfId="14" applyNumberFormat="1" applyFont="1" applyFill="1" applyBorder="1" applyAlignment="1">
      <alignment horizontal="center" vertical="center"/>
    </xf>
    <xf numFmtId="10" fontId="6" fillId="0" borderId="4" xfId="14" applyNumberFormat="1" applyFont="1" applyFill="1" applyBorder="1" applyAlignment="1">
      <alignment horizontal="center" vertical="center"/>
    </xf>
    <xf numFmtId="10" fontId="6" fillId="0" borderId="3" xfId="14" applyNumberFormat="1" applyFont="1" applyBorder="1" applyAlignment="1">
      <alignment horizontal="center" vertical="center"/>
    </xf>
    <xf numFmtId="10" fontId="6" fillId="0" borderId="4" xfId="14" applyNumberFormat="1" applyFont="1" applyBorder="1" applyAlignment="1">
      <alignment horizontal="center" vertical="center"/>
    </xf>
    <xf numFmtId="182" fontId="4" fillId="0" borderId="2" xfId="0" applyNumberFormat="1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2" fontId="0" fillId="0" borderId="0" xfId="0" applyNumberFormat="1"/>
    <xf numFmtId="9" fontId="6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</cellXfs>
  <cellStyles count="16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_x000a_mouse.drv=lm" xfId="13"/>
    <cellStyle name="百分比" xfId="14" builtinId="5"/>
    <cellStyle name="已访问的超链接" xfId="15" builtinId="9"/>
    <cellStyle name="注释" xfId="16" builtinId="10"/>
    <cellStyle name="常规_下马关工程量 2" xfId="17"/>
    <cellStyle name="常规 6" xfId="18"/>
    <cellStyle name="60% - 强调文字颜色 2" xfId="19" builtinId="36"/>
    <cellStyle name="标题 4" xfId="20" builtinId="19"/>
    <cellStyle name="警告文本" xfId="21" builtinId="11"/>
    <cellStyle name="_ET_STYLE_NoName_00_" xfId="22"/>
    <cellStyle name="标题" xfId="23" builtinId="15"/>
    <cellStyle name="解释性文本" xfId="24" builtinId="53"/>
    <cellStyle name="标题 1" xfId="25" builtinId="16"/>
    <cellStyle name="百分比 4" xfId="26"/>
    <cellStyle name="标题 2" xfId="27" builtinId="17"/>
    <cellStyle name="0,0_x000d__x000a_NA_x000d__x000a_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40% - 强调文字颜色 4 2" xfId="35"/>
    <cellStyle name="20% - 强调文字颜色 6" xfId="36" builtinId="50"/>
    <cellStyle name="强调文字颜色 2" xfId="37" builtinId="33"/>
    <cellStyle name="链接单元格" xfId="38" builtinId="24"/>
    <cellStyle name="40% - 强调文字颜色 1 2" xfId="39"/>
    <cellStyle name="汇总" xfId="40" builtinId="25"/>
    <cellStyle name="好" xfId="41" builtinId="26"/>
    <cellStyle name="40% - 强调文字颜色 2 2" xfId="42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常规_蓄水池工程量2009.5.31" xfId="47"/>
    <cellStyle name="40% - 强调文字颜色 1" xfId="48" builtinId="31"/>
    <cellStyle name="20% - 强调文字颜色 2" xfId="49" builtinId="34"/>
    <cellStyle name="输出 2" xfId="50"/>
    <cellStyle name="60% - 强调文字颜色 1 5 5 2 3" xfId="51"/>
    <cellStyle name="0,0_x005f_x000d__x005f_x000a_NA_x005f_x000d__x005f_x000a_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常规 11 10" xfId="57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标题 2 2" xfId="66"/>
    <cellStyle name="0,0_x000d__x000a_NA_x000d__x000a_ 2" xfId="67"/>
    <cellStyle name="0,0_x000d__x000a_NA_x000d__x000a_ 3" xfId="68"/>
    <cellStyle name="20% - 强调文字颜色 2 2" xfId="69"/>
    <cellStyle name="20% - 强调文字颜色 3 2" xfId="70"/>
    <cellStyle name="常规 3" xfId="71"/>
    <cellStyle name="20% - 强调文字颜色 4 2" xfId="72"/>
    <cellStyle name="20% - 强调文字颜色 5 2" xfId="73"/>
    <cellStyle name="20% - 强调文字颜色 6 2" xfId="74"/>
    <cellStyle name="40% - 强调文字颜色 3 2" xfId="75"/>
    <cellStyle name="40% - 强调文字颜色 5 2" xfId="76"/>
    <cellStyle name="40% - 强调文字颜色 6 2" xfId="77"/>
    <cellStyle name="60% - 强调文字颜色 1 2" xfId="78"/>
    <cellStyle name="常规 5" xfId="79"/>
    <cellStyle name="60% - 强调文字颜色 2 2" xfId="80"/>
    <cellStyle name="60% - 强调文字颜色 3 2" xfId="81"/>
    <cellStyle name="60% - 强调文字颜色 4 2" xfId="82"/>
    <cellStyle name="60% - 强调文字颜色 5 2" xfId="83"/>
    <cellStyle name="60% - 强调文字颜色 6 2" xfId="84"/>
    <cellStyle name="百分比 2" xfId="85"/>
    <cellStyle name="百分比 2 14 5" xfId="86"/>
    <cellStyle name="百分比 2 2" xfId="87"/>
    <cellStyle name="百分比 3" xfId="88"/>
    <cellStyle name="百分比 3 2" xfId="89"/>
    <cellStyle name="标题 1 2" xfId="90"/>
    <cellStyle name="标题 3 2" xfId="91"/>
    <cellStyle name="标题 4 2" xfId="92"/>
    <cellStyle name="标题 5" xfId="93"/>
    <cellStyle name="差 2" xfId="94"/>
    <cellStyle name="常规 10" xfId="95"/>
    <cellStyle name="常规 10 2" xfId="96"/>
    <cellStyle name="常规 10 2 2" xfId="97"/>
    <cellStyle name="常规 10 2 2 2" xfId="98"/>
    <cellStyle name="常规 10 2 2 2 3" xfId="99"/>
    <cellStyle name="常规 104" xfId="100"/>
    <cellStyle name="常规 108" xfId="101"/>
    <cellStyle name="常规 11 2" xfId="102"/>
    <cellStyle name="常规 280" xfId="103"/>
    <cellStyle name="常规 11 2 2" xfId="104"/>
    <cellStyle name="常规 11 2 2 2" xfId="105"/>
    <cellStyle name="常规 11 2 3" xfId="106"/>
    <cellStyle name="常规 13" xfId="107"/>
    <cellStyle name="常规 13 2" xfId="108"/>
    <cellStyle name="常规 2" xfId="109"/>
    <cellStyle name="常规 2 10" xfId="110"/>
    <cellStyle name="常规 2 10 2" xfId="111"/>
    <cellStyle name="常规_Sheet1" xfId="112"/>
    <cellStyle name="常规 2 12" xfId="113"/>
    <cellStyle name="常规 2 2" xfId="114"/>
    <cellStyle name="常规 2 2 2" xfId="115"/>
    <cellStyle name="常规 43" xfId="116"/>
    <cellStyle name="常规 2 2 3" xfId="117"/>
    <cellStyle name="常规_庙庙湖A区A1#-A4#系统田间工程量20121114" xfId="118"/>
    <cellStyle name="常规 2 3" xfId="119"/>
    <cellStyle name="常规 2 3 2" xfId="120"/>
    <cellStyle name="常规 2 4" xfId="121"/>
    <cellStyle name="强调文字颜色 4 2" xfId="122"/>
    <cellStyle name="常规 2 5" xfId="123"/>
    <cellStyle name="输入 2" xfId="124"/>
    <cellStyle name="常规 2 8" xfId="125"/>
    <cellStyle name="常规 240" xfId="126"/>
    <cellStyle name="常规 240 2" xfId="127"/>
    <cellStyle name="常规 241" xfId="128"/>
    <cellStyle name="常规 270" xfId="129"/>
    <cellStyle name="常规 272" xfId="130"/>
    <cellStyle name="常规 3 2" xfId="131"/>
    <cellStyle name="常规 3 3" xfId="132"/>
    <cellStyle name="常规 4" xfId="133"/>
    <cellStyle name="常规 4 10" xfId="134"/>
    <cellStyle name="常规 4 18" xfId="135"/>
    <cellStyle name="常规 4 2" xfId="136"/>
    <cellStyle name="常规 4 2 2" xfId="137"/>
    <cellStyle name="常规 4 3" xfId="138"/>
    <cellStyle name="常规 43 2" xfId="139"/>
    <cellStyle name="注释 2" xfId="140"/>
    <cellStyle name="常规 6 2" xfId="141"/>
    <cellStyle name="常规 7" xfId="142"/>
    <cellStyle name="常规_2010续建唐徕渠初设工程量" xfId="143"/>
    <cellStyle name="常规_工程量" xfId="144"/>
    <cellStyle name="常规_勘察设计费计算" xfId="145"/>
    <cellStyle name="常规_某部队生态供水泵站工程（宁夏定额）2010.10.21" xfId="146"/>
    <cellStyle name="常规_设备及金属结构概算2010.8.10_wo 2013-2017年利通区、孙家滩高效节灌（典型）2012.12.24" xfId="147"/>
    <cellStyle name="常规_脱烈概算表.xls" xfId="148"/>
    <cellStyle name="常规_下马关工程量" xfId="149"/>
    <cellStyle name="超链接 2" xfId="150"/>
    <cellStyle name="好 2" xfId="151"/>
    <cellStyle name="汇总 2" xfId="152"/>
    <cellStyle name="货币 2" xfId="153"/>
    <cellStyle name="计算 9 7 4" xfId="154"/>
    <cellStyle name="检查单元格 2" xfId="155"/>
    <cellStyle name="解释性文本 2" xfId="156"/>
    <cellStyle name="警告文本 2" xfId="157"/>
    <cellStyle name="链接单元格 2" xfId="158"/>
    <cellStyle name="强调文字颜色 1 2" xfId="159"/>
    <cellStyle name="强调文字颜色 2 2" xfId="160"/>
    <cellStyle name="强调文字颜色 3 2" xfId="161"/>
    <cellStyle name="强调文字颜色 5 2" xfId="162"/>
    <cellStyle name="强调文字颜色 6 2" xfId="163"/>
    <cellStyle name="强调文字颜色 5 5 4 2" xfId="164"/>
    <cellStyle name="样式 1" xfId="165"/>
  </cellStyles>
  <tableStyles count="0" defaultTableStyle="TableStyleMedium2" defaultPivotStyle="PivotStyleLight16"/>
  <colors>
    <mruColors>
      <color rgb="00FF0000"/>
      <color rgb="00FF66FF"/>
      <color rgb="000000FF"/>
      <color rgb="00FF00FF"/>
      <color rgb="00000000"/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externalLink" Target="externalLinks/externalLink1.xml"/><Relationship Id="rId30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9" Type="http://schemas.openxmlformats.org/officeDocument/2006/relationships/customXml" Target="../customXml/item2.xml"/><Relationship Id="rId28" Type="http://schemas.openxmlformats.org/officeDocument/2006/relationships/customXml" Target="../customXml/item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1943100</xdr:colOff>
      <xdr:row>123</xdr:row>
      <xdr:rowOff>0</xdr:rowOff>
    </xdr:from>
    <xdr:to>
      <xdr:col>6</xdr:col>
      <xdr:colOff>553489</xdr:colOff>
      <xdr:row>123</xdr:row>
      <xdr:rowOff>57785</xdr:rowOff>
    </xdr:to>
    <xdr:pic>
      <xdr:nvPicPr>
        <xdr:cNvPr id="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528633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123</xdr:row>
      <xdr:rowOff>0</xdr:rowOff>
    </xdr:from>
    <xdr:to>
      <xdr:col>6</xdr:col>
      <xdr:colOff>553489</xdr:colOff>
      <xdr:row>123</xdr:row>
      <xdr:rowOff>57785</xdr:rowOff>
    </xdr:to>
    <xdr:pic>
      <xdr:nvPicPr>
        <xdr:cNvPr id="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528633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123</xdr:row>
      <xdr:rowOff>0</xdr:rowOff>
    </xdr:from>
    <xdr:to>
      <xdr:col>6</xdr:col>
      <xdr:colOff>553489</xdr:colOff>
      <xdr:row>123</xdr:row>
      <xdr:rowOff>57785</xdr:rowOff>
    </xdr:to>
    <xdr:pic>
      <xdr:nvPicPr>
        <xdr:cNvPr id="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528633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123</xdr:row>
      <xdr:rowOff>0</xdr:rowOff>
    </xdr:from>
    <xdr:to>
      <xdr:col>6</xdr:col>
      <xdr:colOff>553489</xdr:colOff>
      <xdr:row>123</xdr:row>
      <xdr:rowOff>57785</xdr:rowOff>
    </xdr:to>
    <xdr:pic>
      <xdr:nvPicPr>
        <xdr:cNvPr id="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528633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123</xdr:row>
      <xdr:rowOff>0</xdr:rowOff>
    </xdr:from>
    <xdr:to>
      <xdr:col>6</xdr:col>
      <xdr:colOff>553489</xdr:colOff>
      <xdr:row>123</xdr:row>
      <xdr:rowOff>57785</xdr:rowOff>
    </xdr:to>
    <xdr:pic>
      <xdr:nvPicPr>
        <xdr:cNvPr id="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528633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124</xdr:row>
      <xdr:rowOff>0</xdr:rowOff>
    </xdr:from>
    <xdr:to>
      <xdr:col>6</xdr:col>
      <xdr:colOff>553489</xdr:colOff>
      <xdr:row>124</xdr:row>
      <xdr:rowOff>57785</xdr:rowOff>
    </xdr:to>
    <xdr:pic>
      <xdr:nvPicPr>
        <xdr:cNvPr id="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54889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124</xdr:row>
      <xdr:rowOff>0</xdr:rowOff>
    </xdr:from>
    <xdr:to>
      <xdr:col>6</xdr:col>
      <xdr:colOff>553489</xdr:colOff>
      <xdr:row>124</xdr:row>
      <xdr:rowOff>57785</xdr:rowOff>
    </xdr:to>
    <xdr:pic>
      <xdr:nvPicPr>
        <xdr:cNvPr id="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54889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124</xdr:row>
      <xdr:rowOff>0</xdr:rowOff>
    </xdr:from>
    <xdr:to>
      <xdr:col>6</xdr:col>
      <xdr:colOff>553489</xdr:colOff>
      <xdr:row>124</xdr:row>
      <xdr:rowOff>57785</xdr:rowOff>
    </xdr:to>
    <xdr:pic>
      <xdr:nvPicPr>
        <xdr:cNvPr id="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54889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124</xdr:row>
      <xdr:rowOff>0</xdr:rowOff>
    </xdr:from>
    <xdr:to>
      <xdr:col>6</xdr:col>
      <xdr:colOff>553489</xdr:colOff>
      <xdr:row>124</xdr:row>
      <xdr:rowOff>57785</xdr:rowOff>
    </xdr:to>
    <xdr:pic>
      <xdr:nvPicPr>
        <xdr:cNvPr id="1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54889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124</xdr:row>
      <xdr:rowOff>0</xdr:rowOff>
    </xdr:from>
    <xdr:to>
      <xdr:col>6</xdr:col>
      <xdr:colOff>553489</xdr:colOff>
      <xdr:row>124</xdr:row>
      <xdr:rowOff>57785</xdr:rowOff>
    </xdr:to>
    <xdr:pic>
      <xdr:nvPicPr>
        <xdr:cNvPr id="1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54889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131</xdr:row>
      <xdr:rowOff>0</xdr:rowOff>
    </xdr:from>
    <xdr:to>
      <xdr:col>6</xdr:col>
      <xdr:colOff>553489</xdr:colOff>
      <xdr:row>131</xdr:row>
      <xdr:rowOff>57785</xdr:rowOff>
    </xdr:to>
    <xdr:pic>
      <xdr:nvPicPr>
        <xdr:cNvPr id="1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690685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131</xdr:row>
      <xdr:rowOff>0</xdr:rowOff>
    </xdr:from>
    <xdr:to>
      <xdr:col>6</xdr:col>
      <xdr:colOff>553489</xdr:colOff>
      <xdr:row>131</xdr:row>
      <xdr:rowOff>57785</xdr:rowOff>
    </xdr:to>
    <xdr:pic>
      <xdr:nvPicPr>
        <xdr:cNvPr id="1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690685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131</xdr:row>
      <xdr:rowOff>0</xdr:rowOff>
    </xdr:from>
    <xdr:to>
      <xdr:col>6</xdr:col>
      <xdr:colOff>553489</xdr:colOff>
      <xdr:row>131</xdr:row>
      <xdr:rowOff>57785</xdr:rowOff>
    </xdr:to>
    <xdr:pic>
      <xdr:nvPicPr>
        <xdr:cNvPr id="1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690685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131</xdr:row>
      <xdr:rowOff>0</xdr:rowOff>
    </xdr:from>
    <xdr:to>
      <xdr:col>6</xdr:col>
      <xdr:colOff>553489</xdr:colOff>
      <xdr:row>131</xdr:row>
      <xdr:rowOff>57785</xdr:rowOff>
    </xdr:to>
    <xdr:pic>
      <xdr:nvPicPr>
        <xdr:cNvPr id="1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690685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131</xdr:row>
      <xdr:rowOff>0</xdr:rowOff>
    </xdr:from>
    <xdr:to>
      <xdr:col>6</xdr:col>
      <xdr:colOff>553489</xdr:colOff>
      <xdr:row>131</xdr:row>
      <xdr:rowOff>57785</xdr:rowOff>
    </xdr:to>
    <xdr:pic>
      <xdr:nvPicPr>
        <xdr:cNvPr id="1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690685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195</xdr:row>
      <xdr:rowOff>0</xdr:rowOff>
    </xdr:from>
    <xdr:to>
      <xdr:col>6</xdr:col>
      <xdr:colOff>553489</xdr:colOff>
      <xdr:row>195</xdr:row>
      <xdr:rowOff>57785</xdr:rowOff>
    </xdr:to>
    <xdr:pic>
      <xdr:nvPicPr>
        <xdr:cNvPr id="1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3987101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195</xdr:row>
      <xdr:rowOff>0</xdr:rowOff>
    </xdr:from>
    <xdr:to>
      <xdr:col>6</xdr:col>
      <xdr:colOff>553489</xdr:colOff>
      <xdr:row>195</xdr:row>
      <xdr:rowOff>57785</xdr:rowOff>
    </xdr:to>
    <xdr:pic>
      <xdr:nvPicPr>
        <xdr:cNvPr id="1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3987101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195</xdr:row>
      <xdr:rowOff>0</xdr:rowOff>
    </xdr:from>
    <xdr:to>
      <xdr:col>6</xdr:col>
      <xdr:colOff>553489</xdr:colOff>
      <xdr:row>195</xdr:row>
      <xdr:rowOff>57785</xdr:rowOff>
    </xdr:to>
    <xdr:pic>
      <xdr:nvPicPr>
        <xdr:cNvPr id="1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3987101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195</xdr:row>
      <xdr:rowOff>0</xdr:rowOff>
    </xdr:from>
    <xdr:to>
      <xdr:col>6</xdr:col>
      <xdr:colOff>553489</xdr:colOff>
      <xdr:row>195</xdr:row>
      <xdr:rowOff>57785</xdr:rowOff>
    </xdr:to>
    <xdr:pic>
      <xdr:nvPicPr>
        <xdr:cNvPr id="2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3987101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195</xdr:row>
      <xdr:rowOff>0</xdr:rowOff>
    </xdr:from>
    <xdr:to>
      <xdr:col>6</xdr:col>
      <xdr:colOff>553489</xdr:colOff>
      <xdr:row>195</xdr:row>
      <xdr:rowOff>57785</xdr:rowOff>
    </xdr:to>
    <xdr:pic>
      <xdr:nvPicPr>
        <xdr:cNvPr id="2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3987101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2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2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2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2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2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2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2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2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3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3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3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3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3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3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3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3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3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3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4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4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4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4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4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4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4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4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4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4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5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5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5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5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5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5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5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5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5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5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6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6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6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6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6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6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6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6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6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6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7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7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7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7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7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7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7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7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7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7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8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8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8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8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8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8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8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8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8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8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9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9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9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9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9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9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9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9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9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9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10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10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10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10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10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10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10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195</xdr:row>
      <xdr:rowOff>0</xdr:rowOff>
    </xdr:from>
    <xdr:to>
      <xdr:col>6</xdr:col>
      <xdr:colOff>553489</xdr:colOff>
      <xdr:row>195</xdr:row>
      <xdr:rowOff>57785</xdr:rowOff>
    </xdr:to>
    <xdr:pic>
      <xdr:nvPicPr>
        <xdr:cNvPr id="10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3987101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195</xdr:row>
      <xdr:rowOff>0</xdr:rowOff>
    </xdr:from>
    <xdr:to>
      <xdr:col>6</xdr:col>
      <xdr:colOff>553489</xdr:colOff>
      <xdr:row>195</xdr:row>
      <xdr:rowOff>57785</xdr:rowOff>
    </xdr:to>
    <xdr:pic>
      <xdr:nvPicPr>
        <xdr:cNvPr id="10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3987101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195</xdr:row>
      <xdr:rowOff>0</xdr:rowOff>
    </xdr:from>
    <xdr:to>
      <xdr:col>6</xdr:col>
      <xdr:colOff>553489</xdr:colOff>
      <xdr:row>195</xdr:row>
      <xdr:rowOff>57785</xdr:rowOff>
    </xdr:to>
    <xdr:pic>
      <xdr:nvPicPr>
        <xdr:cNvPr id="10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3987101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195</xdr:row>
      <xdr:rowOff>0</xdr:rowOff>
    </xdr:from>
    <xdr:to>
      <xdr:col>6</xdr:col>
      <xdr:colOff>553489</xdr:colOff>
      <xdr:row>195</xdr:row>
      <xdr:rowOff>57785</xdr:rowOff>
    </xdr:to>
    <xdr:pic>
      <xdr:nvPicPr>
        <xdr:cNvPr id="11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3987101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195</xdr:row>
      <xdr:rowOff>0</xdr:rowOff>
    </xdr:from>
    <xdr:to>
      <xdr:col>6</xdr:col>
      <xdr:colOff>553489</xdr:colOff>
      <xdr:row>195</xdr:row>
      <xdr:rowOff>57785</xdr:rowOff>
    </xdr:to>
    <xdr:pic>
      <xdr:nvPicPr>
        <xdr:cNvPr id="11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3987101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11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11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11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11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11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203</xdr:row>
      <xdr:rowOff>0</xdr:rowOff>
    </xdr:from>
    <xdr:to>
      <xdr:col>6</xdr:col>
      <xdr:colOff>553489</xdr:colOff>
      <xdr:row>203</xdr:row>
      <xdr:rowOff>57785</xdr:rowOff>
    </xdr:to>
    <xdr:pic>
      <xdr:nvPicPr>
        <xdr:cNvPr id="11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149153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203</xdr:row>
      <xdr:rowOff>0</xdr:rowOff>
    </xdr:from>
    <xdr:to>
      <xdr:col>6</xdr:col>
      <xdr:colOff>553489</xdr:colOff>
      <xdr:row>203</xdr:row>
      <xdr:rowOff>57785</xdr:rowOff>
    </xdr:to>
    <xdr:pic>
      <xdr:nvPicPr>
        <xdr:cNvPr id="11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149153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203</xdr:row>
      <xdr:rowOff>0</xdr:rowOff>
    </xdr:from>
    <xdr:to>
      <xdr:col>6</xdr:col>
      <xdr:colOff>553489</xdr:colOff>
      <xdr:row>203</xdr:row>
      <xdr:rowOff>57785</xdr:rowOff>
    </xdr:to>
    <xdr:pic>
      <xdr:nvPicPr>
        <xdr:cNvPr id="11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149153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203</xdr:row>
      <xdr:rowOff>0</xdr:rowOff>
    </xdr:from>
    <xdr:to>
      <xdr:col>6</xdr:col>
      <xdr:colOff>553489</xdr:colOff>
      <xdr:row>203</xdr:row>
      <xdr:rowOff>57785</xdr:rowOff>
    </xdr:to>
    <xdr:pic>
      <xdr:nvPicPr>
        <xdr:cNvPr id="12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149153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203</xdr:row>
      <xdr:rowOff>0</xdr:rowOff>
    </xdr:from>
    <xdr:to>
      <xdr:col>6</xdr:col>
      <xdr:colOff>553489</xdr:colOff>
      <xdr:row>203</xdr:row>
      <xdr:rowOff>57785</xdr:rowOff>
    </xdr:to>
    <xdr:pic>
      <xdr:nvPicPr>
        <xdr:cNvPr id="12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149153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12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12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12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12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196</xdr:row>
      <xdr:rowOff>0</xdr:rowOff>
    </xdr:from>
    <xdr:to>
      <xdr:col>6</xdr:col>
      <xdr:colOff>553489</xdr:colOff>
      <xdr:row>196</xdr:row>
      <xdr:rowOff>57785</xdr:rowOff>
    </xdr:to>
    <xdr:pic>
      <xdr:nvPicPr>
        <xdr:cNvPr id="12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007358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203</xdr:row>
      <xdr:rowOff>0</xdr:rowOff>
    </xdr:from>
    <xdr:to>
      <xdr:col>6</xdr:col>
      <xdr:colOff>553489</xdr:colOff>
      <xdr:row>203</xdr:row>
      <xdr:rowOff>57785</xdr:rowOff>
    </xdr:to>
    <xdr:pic>
      <xdr:nvPicPr>
        <xdr:cNvPr id="12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149153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203</xdr:row>
      <xdr:rowOff>0</xdr:rowOff>
    </xdr:from>
    <xdr:to>
      <xdr:col>6</xdr:col>
      <xdr:colOff>553489</xdr:colOff>
      <xdr:row>203</xdr:row>
      <xdr:rowOff>57785</xdr:rowOff>
    </xdr:to>
    <xdr:pic>
      <xdr:nvPicPr>
        <xdr:cNvPr id="12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149153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203</xdr:row>
      <xdr:rowOff>0</xdr:rowOff>
    </xdr:from>
    <xdr:to>
      <xdr:col>6</xdr:col>
      <xdr:colOff>553489</xdr:colOff>
      <xdr:row>203</xdr:row>
      <xdr:rowOff>57785</xdr:rowOff>
    </xdr:to>
    <xdr:pic>
      <xdr:nvPicPr>
        <xdr:cNvPr id="12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149153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203</xdr:row>
      <xdr:rowOff>0</xdr:rowOff>
    </xdr:from>
    <xdr:to>
      <xdr:col>6</xdr:col>
      <xdr:colOff>553489</xdr:colOff>
      <xdr:row>203</xdr:row>
      <xdr:rowOff>57785</xdr:rowOff>
    </xdr:to>
    <xdr:pic>
      <xdr:nvPicPr>
        <xdr:cNvPr id="13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149153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203</xdr:row>
      <xdr:rowOff>0</xdr:rowOff>
    </xdr:from>
    <xdr:to>
      <xdr:col>6</xdr:col>
      <xdr:colOff>553489</xdr:colOff>
      <xdr:row>203</xdr:row>
      <xdr:rowOff>57785</xdr:rowOff>
    </xdr:to>
    <xdr:pic>
      <xdr:nvPicPr>
        <xdr:cNvPr id="13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4149153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267</xdr:row>
      <xdr:rowOff>0</xdr:rowOff>
    </xdr:from>
    <xdr:to>
      <xdr:col>6</xdr:col>
      <xdr:colOff>553489</xdr:colOff>
      <xdr:row>267</xdr:row>
      <xdr:rowOff>57785</xdr:rowOff>
    </xdr:to>
    <xdr:pic>
      <xdr:nvPicPr>
        <xdr:cNvPr id="13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45569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267</xdr:row>
      <xdr:rowOff>0</xdr:rowOff>
    </xdr:from>
    <xdr:to>
      <xdr:col>6</xdr:col>
      <xdr:colOff>553489</xdr:colOff>
      <xdr:row>267</xdr:row>
      <xdr:rowOff>57785</xdr:rowOff>
    </xdr:to>
    <xdr:pic>
      <xdr:nvPicPr>
        <xdr:cNvPr id="13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45569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267</xdr:row>
      <xdr:rowOff>0</xdr:rowOff>
    </xdr:from>
    <xdr:to>
      <xdr:col>6</xdr:col>
      <xdr:colOff>553489</xdr:colOff>
      <xdr:row>267</xdr:row>
      <xdr:rowOff>57785</xdr:rowOff>
    </xdr:to>
    <xdr:pic>
      <xdr:nvPicPr>
        <xdr:cNvPr id="13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45569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267</xdr:row>
      <xdr:rowOff>0</xdr:rowOff>
    </xdr:from>
    <xdr:to>
      <xdr:col>6</xdr:col>
      <xdr:colOff>553489</xdr:colOff>
      <xdr:row>267</xdr:row>
      <xdr:rowOff>57785</xdr:rowOff>
    </xdr:to>
    <xdr:pic>
      <xdr:nvPicPr>
        <xdr:cNvPr id="13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45569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267</xdr:row>
      <xdr:rowOff>0</xdr:rowOff>
    </xdr:from>
    <xdr:to>
      <xdr:col>6</xdr:col>
      <xdr:colOff>553489</xdr:colOff>
      <xdr:row>267</xdr:row>
      <xdr:rowOff>57785</xdr:rowOff>
    </xdr:to>
    <xdr:pic>
      <xdr:nvPicPr>
        <xdr:cNvPr id="13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45569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3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3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3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4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4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4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4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4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4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4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4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4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4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5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5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5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5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5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5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5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5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5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5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6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6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6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6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6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6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6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6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6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6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7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7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7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7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7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7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7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7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7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7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8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8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8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8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8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8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8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8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8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8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9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9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9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9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9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9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9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9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9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19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0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0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0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0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0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0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0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0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0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0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1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1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1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1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1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1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1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1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1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1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2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2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267</xdr:row>
      <xdr:rowOff>0</xdr:rowOff>
    </xdr:from>
    <xdr:to>
      <xdr:col>6</xdr:col>
      <xdr:colOff>553489</xdr:colOff>
      <xdr:row>267</xdr:row>
      <xdr:rowOff>57785</xdr:rowOff>
    </xdr:to>
    <xdr:pic>
      <xdr:nvPicPr>
        <xdr:cNvPr id="22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45569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267</xdr:row>
      <xdr:rowOff>0</xdr:rowOff>
    </xdr:from>
    <xdr:to>
      <xdr:col>6</xdr:col>
      <xdr:colOff>553489</xdr:colOff>
      <xdr:row>267</xdr:row>
      <xdr:rowOff>57785</xdr:rowOff>
    </xdr:to>
    <xdr:pic>
      <xdr:nvPicPr>
        <xdr:cNvPr id="22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45569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267</xdr:row>
      <xdr:rowOff>0</xdr:rowOff>
    </xdr:from>
    <xdr:to>
      <xdr:col>6</xdr:col>
      <xdr:colOff>553489</xdr:colOff>
      <xdr:row>267</xdr:row>
      <xdr:rowOff>57785</xdr:rowOff>
    </xdr:to>
    <xdr:pic>
      <xdr:nvPicPr>
        <xdr:cNvPr id="22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45569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267</xdr:row>
      <xdr:rowOff>0</xdr:rowOff>
    </xdr:from>
    <xdr:to>
      <xdr:col>6</xdr:col>
      <xdr:colOff>553489</xdr:colOff>
      <xdr:row>267</xdr:row>
      <xdr:rowOff>57785</xdr:rowOff>
    </xdr:to>
    <xdr:pic>
      <xdr:nvPicPr>
        <xdr:cNvPr id="22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45569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267</xdr:row>
      <xdr:rowOff>0</xdr:rowOff>
    </xdr:from>
    <xdr:to>
      <xdr:col>6</xdr:col>
      <xdr:colOff>553489</xdr:colOff>
      <xdr:row>267</xdr:row>
      <xdr:rowOff>57785</xdr:rowOff>
    </xdr:to>
    <xdr:pic>
      <xdr:nvPicPr>
        <xdr:cNvPr id="22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45569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2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2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2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3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3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275</xdr:row>
      <xdr:rowOff>0</xdr:rowOff>
    </xdr:from>
    <xdr:to>
      <xdr:col>6</xdr:col>
      <xdr:colOff>553489</xdr:colOff>
      <xdr:row>275</xdr:row>
      <xdr:rowOff>57785</xdr:rowOff>
    </xdr:to>
    <xdr:pic>
      <xdr:nvPicPr>
        <xdr:cNvPr id="23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607621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275</xdr:row>
      <xdr:rowOff>0</xdr:rowOff>
    </xdr:from>
    <xdr:to>
      <xdr:col>6</xdr:col>
      <xdr:colOff>553489</xdr:colOff>
      <xdr:row>275</xdr:row>
      <xdr:rowOff>57785</xdr:rowOff>
    </xdr:to>
    <xdr:pic>
      <xdr:nvPicPr>
        <xdr:cNvPr id="23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607621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275</xdr:row>
      <xdr:rowOff>0</xdr:rowOff>
    </xdr:from>
    <xdr:to>
      <xdr:col>6</xdr:col>
      <xdr:colOff>553489</xdr:colOff>
      <xdr:row>275</xdr:row>
      <xdr:rowOff>57785</xdr:rowOff>
    </xdr:to>
    <xdr:pic>
      <xdr:nvPicPr>
        <xdr:cNvPr id="23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607621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275</xdr:row>
      <xdr:rowOff>0</xdr:rowOff>
    </xdr:from>
    <xdr:to>
      <xdr:col>6</xdr:col>
      <xdr:colOff>553489</xdr:colOff>
      <xdr:row>275</xdr:row>
      <xdr:rowOff>57785</xdr:rowOff>
    </xdr:to>
    <xdr:pic>
      <xdr:nvPicPr>
        <xdr:cNvPr id="23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607621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275</xdr:row>
      <xdr:rowOff>0</xdr:rowOff>
    </xdr:from>
    <xdr:to>
      <xdr:col>6</xdr:col>
      <xdr:colOff>553489</xdr:colOff>
      <xdr:row>275</xdr:row>
      <xdr:rowOff>57785</xdr:rowOff>
    </xdr:to>
    <xdr:pic>
      <xdr:nvPicPr>
        <xdr:cNvPr id="23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607621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3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3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3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4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268</xdr:row>
      <xdr:rowOff>0</xdr:rowOff>
    </xdr:from>
    <xdr:to>
      <xdr:col>6</xdr:col>
      <xdr:colOff>553489</xdr:colOff>
      <xdr:row>268</xdr:row>
      <xdr:rowOff>57785</xdr:rowOff>
    </xdr:to>
    <xdr:pic>
      <xdr:nvPicPr>
        <xdr:cNvPr id="24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465826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275</xdr:row>
      <xdr:rowOff>0</xdr:rowOff>
    </xdr:from>
    <xdr:to>
      <xdr:col>6</xdr:col>
      <xdr:colOff>553489</xdr:colOff>
      <xdr:row>275</xdr:row>
      <xdr:rowOff>57785</xdr:rowOff>
    </xdr:to>
    <xdr:pic>
      <xdr:nvPicPr>
        <xdr:cNvPr id="24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607621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275</xdr:row>
      <xdr:rowOff>0</xdr:rowOff>
    </xdr:from>
    <xdr:to>
      <xdr:col>6</xdr:col>
      <xdr:colOff>553489</xdr:colOff>
      <xdr:row>275</xdr:row>
      <xdr:rowOff>57785</xdr:rowOff>
    </xdr:to>
    <xdr:pic>
      <xdr:nvPicPr>
        <xdr:cNvPr id="24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607621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275</xdr:row>
      <xdr:rowOff>0</xdr:rowOff>
    </xdr:from>
    <xdr:to>
      <xdr:col>6</xdr:col>
      <xdr:colOff>553489</xdr:colOff>
      <xdr:row>275</xdr:row>
      <xdr:rowOff>57785</xdr:rowOff>
    </xdr:to>
    <xdr:pic>
      <xdr:nvPicPr>
        <xdr:cNvPr id="24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607621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275</xdr:row>
      <xdr:rowOff>0</xdr:rowOff>
    </xdr:from>
    <xdr:to>
      <xdr:col>6</xdr:col>
      <xdr:colOff>553489</xdr:colOff>
      <xdr:row>275</xdr:row>
      <xdr:rowOff>57785</xdr:rowOff>
    </xdr:to>
    <xdr:pic>
      <xdr:nvPicPr>
        <xdr:cNvPr id="24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607621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275</xdr:row>
      <xdr:rowOff>0</xdr:rowOff>
    </xdr:from>
    <xdr:to>
      <xdr:col>6</xdr:col>
      <xdr:colOff>553489</xdr:colOff>
      <xdr:row>275</xdr:row>
      <xdr:rowOff>57785</xdr:rowOff>
    </xdr:to>
    <xdr:pic>
      <xdr:nvPicPr>
        <xdr:cNvPr id="24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5607621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1943100</xdr:colOff>
      <xdr:row>60</xdr:row>
      <xdr:rowOff>0</xdr:rowOff>
    </xdr:from>
    <xdr:to>
      <xdr:col>1</xdr:col>
      <xdr:colOff>3458210</xdr:colOff>
      <xdr:row>60</xdr:row>
      <xdr:rowOff>57785</xdr:rowOff>
    </xdr:to>
    <xdr:pic>
      <xdr:nvPicPr>
        <xdr:cNvPr id="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3716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60</xdr:row>
      <xdr:rowOff>0</xdr:rowOff>
    </xdr:from>
    <xdr:to>
      <xdr:col>1</xdr:col>
      <xdr:colOff>3458210</xdr:colOff>
      <xdr:row>60</xdr:row>
      <xdr:rowOff>57785</xdr:rowOff>
    </xdr:to>
    <xdr:pic>
      <xdr:nvPicPr>
        <xdr:cNvPr id="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3716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60</xdr:row>
      <xdr:rowOff>0</xdr:rowOff>
    </xdr:from>
    <xdr:to>
      <xdr:col>1</xdr:col>
      <xdr:colOff>3458210</xdr:colOff>
      <xdr:row>60</xdr:row>
      <xdr:rowOff>57785</xdr:rowOff>
    </xdr:to>
    <xdr:pic>
      <xdr:nvPicPr>
        <xdr:cNvPr id="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3716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60</xdr:row>
      <xdr:rowOff>0</xdr:rowOff>
    </xdr:from>
    <xdr:to>
      <xdr:col>1</xdr:col>
      <xdr:colOff>3458210</xdr:colOff>
      <xdr:row>60</xdr:row>
      <xdr:rowOff>57785</xdr:rowOff>
    </xdr:to>
    <xdr:pic>
      <xdr:nvPicPr>
        <xdr:cNvPr id="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3716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60</xdr:row>
      <xdr:rowOff>0</xdr:rowOff>
    </xdr:from>
    <xdr:to>
      <xdr:col>1</xdr:col>
      <xdr:colOff>3458210</xdr:colOff>
      <xdr:row>60</xdr:row>
      <xdr:rowOff>57785</xdr:rowOff>
    </xdr:to>
    <xdr:pic>
      <xdr:nvPicPr>
        <xdr:cNvPr id="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3716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1</xdr:col>
      <xdr:colOff>3458210</xdr:colOff>
      <xdr:row>61</xdr:row>
      <xdr:rowOff>57785</xdr:rowOff>
    </xdr:to>
    <xdr:pic>
      <xdr:nvPicPr>
        <xdr:cNvPr id="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39446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1</xdr:col>
      <xdr:colOff>3458210</xdr:colOff>
      <xdr:row>61</xdr:row>
      <xdr:rowOff>57785</xdr:rowOff>
    </xdr:to>
    <xdr:pic>
      <xdr:nvPicPr>
        <xdr:cNvPr id="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39446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1</xdr:col>
      <xdr:colOff>3458210</xdr:colOff>
      <xdr:row>61</xdr:row>
      <xdr:rowOff>57785</xdr:rowOff>
    </xdr:to>
    <xdr:pic>
      <xdr:nvPicPr>
        <xdr:cNvPr id="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39446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1</xdr:col>
      <xdr:colOff>3458210</xdr:colOff>
      <xdr:row>61</xdr:row>
      <xdr:rowOff>57785</xdr:rowOff>
    </xdr:to>
    <xdr:pic>
      <xdr:nvPicPr>
        <xdr:cNvPr id="1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39446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1</xdr:col>
      <xdr:colOff>3458210</xdr:colOff>
      <xdr:row>61</xdr:row>
      <xdr:rowOff>57785</xdr:rowOff>
    </xdr:to>
    <xdr:pic>
      <xdr:nvPicPr>
        <xdr:cNvPr id="1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39446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1</xdr:col>
      <xdr:colOff>3458210</xdr:colOff>
      <xdr:row>61</xdr:row>
      <xdr:rowOff>57785</xdr:rowOff>
    </xdr:to>
    <xdr:pic>
      <xdr:nvPicPr>
        <xdr:cNvPr id="1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39446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1</xdr:col>
      <xdr:colOff>3458210</xdr:colOff>
      <xdr:row>61</xdr:row>
      <xdr:rowOff>57785</xdr:rowOff>
    </xdr:to>
    <xdr:pic>
      <xdr:nvPicPr>
        <xdr:cNvPr id="1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39446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1</xdr:col>
      <xdr:colOff>3458210</xdr:colOff>
      <xdr:row>61</xdr:row>
      <xdr:rowOff>57785</xdr:rowOff>
    </xdr:to>
    <xdr:pic>
      <xdr:nvPicPr>
        <xdr:cNvPr id="1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39446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1</xdr:col>
      <xdr:colOff>3458210</xdr:colOff>
      <xdr:row>61</xdr:row>
      <xdr:rowOff>57785</xdr:rowOff>
    </xdr:to>
    <xdr:pic>
      <xdr:nvPicPr>
        <xdr:cNvPr id="1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39446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1</xdr:col>
      <xdr:colOff>3458210</xdr:colOff>
      <xdr:row>61</xdr:row>
      <xdr:rowOff>57785</xdr:rowOff>
    </xdr:to>
    <xdr:pic>
      <xdr:nvPicPr>
        <xdr:cNvPr id="1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39446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3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3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3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3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3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3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3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3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3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3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4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4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4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4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4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4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4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4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4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4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5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5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5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5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5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5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5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5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5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5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6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6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6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6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6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6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6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6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6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6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7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7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7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7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7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7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7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7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7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7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8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8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8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8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8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8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8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8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8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8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9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9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9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9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9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9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9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9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9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9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0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0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0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0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0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0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0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0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0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0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1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1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1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1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1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1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1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1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1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1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2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2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2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2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2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2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2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2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2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2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3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3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3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3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3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3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3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3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3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3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4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4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4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4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4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4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4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4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4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4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5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5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5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5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5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5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5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5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5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5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6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6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6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6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6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6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6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6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6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6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7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7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7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7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7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7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7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7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7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7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8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8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8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8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8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8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8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8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8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8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9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9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9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9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9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9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9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9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9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19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0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0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0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0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0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0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0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0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0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0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1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1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1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1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1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1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1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1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1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1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2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2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2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2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2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2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2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2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2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2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3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3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3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3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3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3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3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3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3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3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4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4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4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4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4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4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94</xdr:row>
      <xdr:rowOff>0</xdr:rowOff>
    </xdr:from>
    <xdr:to>
      <xdr:col>1</xdr:col>
      <xdr:colOff>3458210</xdr:colOff>
      <xdr:row>94</xdr:row>
      <xdr:rowOff>57785</xdr:rowOff>
    </xdr:to>
    <xdr:pic>
      <xdr:nvPicPr>
        <xdr:cNvPr id="24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14884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1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1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1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1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1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1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1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1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1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1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2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2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2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2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2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2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2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2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2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2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3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3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3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3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3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3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3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3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3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3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4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4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4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4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4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4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4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4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4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4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5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5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5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5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5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5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5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5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5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5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6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6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6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6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6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6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6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6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6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6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7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7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7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7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7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7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7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7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7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7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8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8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8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8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8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8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8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8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8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8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9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9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9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9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9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9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9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9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9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9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0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0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0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0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0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0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0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10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10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10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11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61</xdr:row>
      <xdr:rowOff>0</xdr:rowOff>
    </xdr:from>
    <xdr:to>
      <xdr:col>3</xdr:col>
      <xdr:colOff>391160</xdr:colOff>
      <xdr:row>61</xdr:row>
      <xdr:rowOff>57785</xdr:rowOff>
    </xdr:to>
    <xdr:pic>
      <xdr:nvPicPr>
        <xdr:cNvPr id="11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494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1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1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1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1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1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1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1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1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2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2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2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2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2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2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2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2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2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2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3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62</xdr:row>
      <xdr:rowOff>0</xdr:rowOff>
    </xdr:from>
    <xdr:to>
      <xdr:col>3</xdr:col>
      <xdr:colOff>391160</xdr:colOff>
      <xdr:row>62</xdr:row>
      <xdr:rowOff>57785</xdr:rowOff>
    </xdr:to>
    <xdr:pic>
      <xdr:nvPicPr>
        <xdr:cNvPr id="13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15748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3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3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3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3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3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3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3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3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4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4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4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4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4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4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4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4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4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4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5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5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5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5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5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5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5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5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5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5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6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6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6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6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6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6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6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6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6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6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7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7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7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7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7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7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7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7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7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7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8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8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8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8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8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8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8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8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8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8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9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9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9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9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9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9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9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9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9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19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0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0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0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0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0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0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0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0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0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0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1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1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1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1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1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1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1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1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1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1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2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2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2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2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2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2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2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2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2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2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3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3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3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3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3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3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3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3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3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3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4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4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4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4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4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4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95</xdr:row>
      <xdr:rowOff>0</xdr:rowOff>
    </xdr:from>
    <xdr:to>
      <xdr:col>3</xdr:col>
      <xdr:colOff>391160</xdr:colOff>
      <xdr:row>95</xdr:row>
      <xdr:rowOff>57785</xdr:rowOff>
    </xdr:to>
    <xdr:pic>
      <xdr:nvPicPr>
        <xdr:cNvPr id="24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41300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123</xdr:row>
      <xdr:rowOff>0</xdr:rowOff>
    </xdr:from>
    <xdr:to>
      <xdr:col>1</xdr:col>
      <xdr:colOff>829310</xdr:colOff>
      <xdr:row>123</xdr:row>
      <xdr:rowOff>57785</xdr:rowOff>
    </xdr:to>
    <xdr:pic>
      <xdr:nvPicPr>
        <xdr:cNvPr id="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264731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1</xdr:col>
      <xdr:colOff>829310</xdr:colOff>
      <xdr:row>123</xdr:row>
      <xdr:rowOff>57785</xdr:rowOff>
    </xdr:to>
    <xdr:pic>
      <xdr:nvPicPr>
        <xdr:cNvPr id="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264731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1</xdr:col>
      <xdr:colOff>829310</xdr:colOff>
      <xdr:row>123</xdr:row>
      <xdr:rowOff>57785</xdr:rowOff>
    </xdr:to>
    <xdr:pic>
      <xdr:nvPicPr>
        <xdr:cNvPr id="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264731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1</xdr:col>
      <xdr:colOff>829310</xdr:colOff>
      <xdr:row>123</xdr:row>
      <xdr:rowOff>57785</xdr:rowOff>
    </xdr:to>
    <xdr:pic>
      <xdr:nvPicPr>
        <xdr:cNvPr id="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264731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1</xdr:col>
      <xdr:colOff>829310</xdr:colOff>
      <xdr:row>123</xdr:row>
      <xdr:rowOff>57785</xdr:rowOff>
    </xdr:to>
    <xdr:pic>
      <xdr:nvPicPr>
        <xdr:cNvPr id="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264731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1</xdr:col>
      <xdr:colOff>829310</xdr:colOff>
      <xdr:row>124</xdr:row>
      <xdr:rowOff>57785</xdr:rowOff>
    </xdr:to>
    <xdr:pic>
      <xdr:nvPicPr>
        <xdr:cNvPr id="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266541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1</xdr:col>
      <xdr:colOff>829310</xdr:colOff>
      <xdr:row>124</xdr:row>
      <xdr:rowOff>57785</xdr:rowOff>
    </xdr:to>
    <xdr:pic>
      <xdr:nvPicPr>
        <xdr:cNvPr id="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266541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1</xdr:col>
      <xdr:colOff>829310</xdr:colOff>
      <xdr:row>124</xdr:row>
      <xdr:rowOff>57785</xdr:rowOff>
    </xdr:to>
    <xdr:pic>
      <xdr:nvPicPr>
        <xdr:cNvPr id="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266541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1</xdr:col>
      <xdr:colOff>829310</xdr:colOff>
      <xdr:row>124</xdr:row>
      <xdr:rowOff>57785</xdr:rowOff>
    </xdr:to>
    <xdr:pic>
      <xdr:nvPicPr>
        <xdr:cNvPr id="1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266541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1</xdr:col>
      <xdr:colOff>829310</xdr:colOff>
      <xdr:row>124</xdr:row>
      <xdr:rowOff>57785</xdr:rowOff>
    </xdr:to>
    <xdr:pic>
      <xdr:nvPicPr>
        <xdr:cNvPr id="1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266541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1</xdr:col>
      <xdr:colOff>829310</xdr:colOff>
      <xdr:row>131</xdr:row>
      <xdr:rowOff>57785</xdr:rowOff>
    </xdr:to>
    <xdr:pic>
      <xdr:nvPicPr>
        <xdr:cNvPr id="1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279209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1</xdr:col>
      <xdr:colOff>829310</xdr:colOff>
      <xdr:row>131</xdr:row>
      <xdr:rowOff>57785</xdr:rowOff>
    </xdr:to>
    <xdr:pic>
      <xdr:nvPicPr>
        <xdr:cNvPr id="1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279209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1</xdr:col>
      <xdr:colOff>829310</xdr:colOff>
      <xdr:row>131</xdr:row>
      <xdr:rowOff>57785</xdr:rowOff>
    </xdr:to>
    <xdr:pic>
      <xdr:nvPicPr>
        <xdr:cNvPr id="1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279209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1</xdr:col>
      <xdr:colOff>829310</xdr:colOff>
      <xdr:row>131</xdr:row>
      <xdr:rowOff>57785</xdr:rowOff>
    </xdr:to>
    <xdr:pic>
      <xdr:nvPicPr>
        <xdr:cNvPr id="1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279209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1</xdr:col>
      <xdr:colOff>829310</xdr:colOff>
      <xdr:row>131</xdr:row>
      <xdr:rowOff>57785</xdr:rowOff>
    </xdr:to>
    <xdr:pic>
      <xdr:nvPicPr>
        <xdr:cNvPr id="1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279209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1</xdr:col>
      <xdr:colOff>829310</xdr:colOff>
      <xdr:row>195</xdr:row>
      <xdr:rowOff>57785</xdr:rowOff>
    </xdr:to>
    <xdr:pic>
      <xdr:nvPicPr>
        <xdr:cNvPr id="1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5033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1</xdr:col>
      <xdr:colOff>829310</xdr:colOff>
      <xdr:row>195</xdr:row>
      <xdr:rowOff>57785</xdr:rowOff>
    </xdr:to>
    <xdr:pic>
      <xdr:nvPicPr>
        <xdr:cNvPr id="1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5033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1</xdr:col>
      <xdr:colOff>829310</xdr:colOff>
      <xdr:row>195</xdr:row>
      <xdr:rowOff>57785</xdr:rowOff>
    </xdr:to>
    <xdr:pic>
      <xdr:nvPicPr>
        <xdr:cNvPr id="1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5033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1</xdr:col>
      <xdr:colOff>829310</xdr:colOff>
      <xdr:row>195</xdr:row>
      <xdr:rowOff>57785</xdr:rowOff>
    </xdr:to>
    <xdr:pic>
      <xdr:nvPicPr>
        <xdr:cNvPr id="2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5033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1</xdr:col>
      <xdr:colOff>829310</xdr:colOff>
      <xdr:row>195</xdr:row>
      <xdr:rowOff>57785</xdr:rowOff>
    </xdr:to>
    <xdr:pic>
      <xdr:nvPicPr>
        <xdr:cNvPr id="2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5033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2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2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2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2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2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2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2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2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3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3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3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3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3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3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3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3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3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3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4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4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4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4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4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4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4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4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4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4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5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5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5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5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5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5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5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5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5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5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6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6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6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6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6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6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6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6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6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6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7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7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7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7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7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7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7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7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7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7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8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8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8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8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8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8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8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8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8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8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9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9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9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9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9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9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9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9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9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9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10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10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10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10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10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10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10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1</xdr:col>
      <xdr:colOff>829310</xdr:colOff>
      <xdr:row>195</xdr:row>
      <xdr:rowOff>57785</xdr:rowOff>
    </xdr:to>
    <xdr:pic>
      <xdr:nvPicPr>
        <xdr:cNvPr id="10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5033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1</xdr:col>
      <xdr:colOff>829310</xdr:colOff>
      <xdr:row>195</xdr:row>
      <xdr:rowOff>57785</xdr:rowOff>
    </xdr:to>
    <xdr:pic>
      <xdr:nvPicPr>
        <xdr:cNvPr id="10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5033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1</xdr:col>
      <xdr:colOff>829310</xdr:colOff>
      <xdr:row>195</xdr:row>
      <xdr:rowOff>57785</xdr:rowOff>
    </xdr:to>
    <xdr:pic>
      <xdr:nvPicPr>
        <xdr:cNvPr id="10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5033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1</xdr:col>
      <xdr:colOff>829310</xdr:colOff>
      <xdr:row>195</xdr:row>
      <xdr:rowOff>57785</xdr:rowOff>
    </xdr:to>
    <xdr:pic>
      <xdr:nvPicPr>
        <xdr:cNvPr id="11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5033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1</xdr:col>
      <xdr:colOff>829310</xdr:colOff>
      <xdr:row>195</xdr:row>
      <xdr:rowOff>57785</xdr:rowOff>
    </xdr:to>
    <xdr:pic>
      <xdr:nvPicPr>
        <xdr:cNvPr id="11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5033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11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11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11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11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11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1</xdr:col>
      <xdr:colOff>829310</xdr:colOff>
      <xdr:row>203</xdr:row>
      <xdr:rowOff>57785</xdr:rowOff>
    </xdr:to>
    <xdr:pic>
      <xdr:nvPicPr>
        <xdr:cNvPr id="11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409511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1</xdr:col>
      <xdr:colOff>829310</xdr:colOff>
      <xdr:row>203</xdr:row>
      <xdr:rowOff>57785</xdr:rowOff>
    </xdr:to>
    <xdr:pic>
      <xdr:nvPicPr>
        <xdr:cNvPr id="11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409511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1</xdr:col>
      <xdr:colOff>829310</xdr:colOff>
      <xdr:row>203</xdr:row>
      <xdr:rowOff>57785</xdr:rowOff>
    </xdr:to>
    <xdr:pic>
      <xdr:nvPicPr>
        <xdr:cNvPr id="11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409511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1</xdr:col>
      <xdr:colOff>829310</xdr:colOff>
      <xdr:row>203</xdr:row>
      <xdr:rowOff>57785</xdr:rowOff>
    </xdr:to>
    <xdr:pic>
      <xdr:nvPicPr>
        <xdr:cNvPr id="12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409511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1</xdr:col>
      <xdr:colOff>829310</xdr:colOff>
      <xdr:row>203</xdr:row>
      <xdr:rowOff>57785</xdr:rowOff>
    </xdr:to>
    <xdr:pic>
      <xdr:nvPicPr>
        <xdr:cNvPr id="12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409511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12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12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12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12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829310</xdr:colOff>
      <xdr:row>196</xdr:row>
      <xdr:rowOff>57785</xdr:rowOff>
    </xdr:to>
    <xdr:pic>
      <xdr:nvPicPr>
        <xdr:cNvPr id="12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396843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1</xdr:col>
      <xdr:colOff>829310</xdr:colOff>
      <xdr:row>203</xdr:row>
      <xdr:rowOff>57785</xdr:rowOff>
    </xdr:to>
    <xdr:pic>
      <xdr:nvPicPr>
        <xdr:cNvPr id="12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409511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1</xdr:col>
      <xdr:colOff>829310</xdr:colOff>
      <xdr:row>203</xdr:row>
      <xdr:rowOff>57785</xdr:rowOff>
    </xdr:to>
    <xdr:pic>
      <xdr:nvPicPr>
        <xdr:cNvPr id="12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409511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1</xdr:col>
      <xdr:colOff>829310</xdr:colOff>
      <xdr:row>203</xdr:row>
      <xdr:rowOff>57785</xdr:rowOff>
    </xdr:to>
    <xdr:pic>
      <xdr:nvPicPr>
        <xdr:cNvPr id="12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409511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1</xdr:col>
      <xdr:colOff>829310</xdr:colOff>
      <xdr:row>203</xdr:row>
      <xdr:rowOff>57785</xdr:rowOff>
    </xdr:to>
    <xdr:pic>
      <xdr:nvPicPr>
        <xdr:cNvPr id="13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409511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1</xdr:col>
      <xdr:colOff>829310</xdr:colOff>
      <xdr:row>203</xdr:row>
      <xdr:rowOff>57785</xdr:rowOff>
    </xdr:to>
    <xdr:pic>
      <xdr:nvPicPr>
        <xdr:cNvPr id="13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409511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1</xdr:col>
      <xdr:colOff>829310</xdr:colOff>
      <xdr:row>267</xdr:row>
      <xdr:rowOff>57785</xdr:rowOff>
    </xdr:to>
    <xdr:pic>
      <xdr:nvPicPr>
        <xdr:cNvPr id="13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5335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1</xdr:col>
      <xdr:colOff>829310</xdr:colOff>
      <xdr:row>267</xdr:row>
      <xdr:rowOff>57785</xdr:rowOff>
    </xdr:to>
    <xdr:pic>
      <xdr:nvPicPr>
        <xdr:cNvPr id="13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5335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1</xdr:col>
      <xdr:colOff>829310</xdr:colOff>
      <xdr:row>267</xdr:row>
      <xdr:rowOff>57785</xdr:rowOff>
    </xdr:to>
    <xdr:pic>
      <xdr:nvPicPr>
        <xdr:cNvPr id="13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5335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1</xdr:col>
      <xdr:colOff>829310</xdr:colOff>
      <xdr:row>267</xdr:row>
      <xdr:rowOff>57785</xdr:rowOff>
    </xdr:to>
    <xdr:pic>
      <xdr:nvPicPr>
        <xdr:cNvPr id="13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5335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1</xdr:col>
      <xdr:colOff>829310</xdr:colOff>
      <xdr:row>267</xdr:row>
      <xdr:rowOff>57785</xdr:rowOff>
    </xdr:to>
    <xdr:pic>
      <xdr:nvPicPr>
        <xdr:cNvPr id="13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5335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3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3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3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4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4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4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4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4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4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4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4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4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4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5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5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5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5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5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5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5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5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5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5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6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6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6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6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6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6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6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6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6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6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7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7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7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7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7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7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7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7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7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7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8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8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8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8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8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8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8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8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8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8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9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9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9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9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9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9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9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9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9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19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0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0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0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0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0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0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0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0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0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0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1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1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1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1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1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1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1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1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1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1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2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2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1</xdr:col>
      <xdr:colOff>829310</xdr:colOff>
      <xdr:row>267</xdr:row>
      <xdr:rowOff>57785</xdr:rowOff>
    </xdr:to>
    <xdr:pic>
      <xdr:nvPicPr>
        <xdr:cNvPr id="22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5335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1</xdr:col>
      <xdr:colOff>829310</xdr:colOff>
      <xdr:row>267</xdr:row>
      <xdr:rowOff>57785</xdr:rowOff>
    </xdr:to>
    <xdr:pic>
      <xdr:nvPicPr>
        <xdr:cNvPr id="22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5335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1</xdr:col>
      <xdr:colOff>829310</xdr:colOff>
      <xdr:row>267</xdr:row>
      <xdr:rowOff>57785</xdr:rowOff>
    </xdr:to>
    <xdr:pic>
      <xdr:nvPicPr>
        <xdr:cNvPr id="22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5335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1</xdr:col>
      <xdr:colOff>829310</xdr:colOff>
      <xdr:row>267</xdr:row>
      <xdr:rowOff>57785</xdr:rowOff>
    </xdr:to>
    <xdr:pic>
      <xdr:nvPicPr>
        <xdr:cNvPr id="22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5335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1</xdr:col>
      <xdr:colOff>829310</xdr:colOff>
      <xdr:row>267</xdr:row>
      <xdr:rowOff>57785</xdr:rowOff>
    </xdr:to>
    <xdr:pic>
      <xdr:nvPicPr>
        <xdr:cNvPr id="22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5335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2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2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2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3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3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1</xdr:col>
      <xdr:colOff>829310</xdr:colOff>
      <xdr:row>275</xdr:row>
      <xdr:rowOff>57785</xdr:rowOff>
    </xdr:to>
    <xdr:pic>
      <xdr:nvPicPr>
        <xdr:cNvPr id="23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39813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1</xdr:col>
      <xdr:colOff>829310</xdr:colOff>
      <xdr:row>275</xdr:row>
      <xdr:rowOff>57785</xdr:rowOff>
    </xdr:to>
    <xdr:pic>
      <xdr:nvPicPr>
        <xdr:cNvPr id="23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39813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1</xdr:col>
      <xdr:colOff>829310</xdr:colOff>
      <xdr:row>275</xdr:row>
      <xdr:rowOff>57785</xdr:rowOff>
    </xdr:to>
    <xdr:pic>
      <xdr:nvPicPr>
        <xdr:cNvPr id="23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39813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1</xdr:col>
      <xdr:colOff>829310</xdr:colOff>
      <xdr:row>275</xdr:row>
      <xdr:rowOff>57785</xdr:rowOff>
    </xdr:to>
    <xdr:pic>
      <xdr:nvPicPr>
        <xdr:cNvPr id="23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39813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1</xdr:col>
      <xdr:colOff>829310</xdr:colOff>
      <xdr:row>275</xdr:row>
      <xdr:rowOff>57785</xdr:rowOff>
    </xdr:to>
    <xdr:pic>
      <xdr:nvPicPr>
        <xdr:cNvPr id="23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39813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3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3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3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4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829310</xdr:colOff>
      <xdr:row>268</xdr:row>
      <xdr:rowOff>57785</xdr:rowOff>
    </xdr:to>
    <xdr:pic>
      <xdr:nvPicPr>
        <xdr:cNvPr id="24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2714525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1</xdr:col>
      <xdr:colOff>829310</xdr:colOff>
      <xdr:row>275</xdr:row>
      <xdr:rowOff>57785</xdr:rowOff>
    </xdr:to>
    <xdr:pic>
      <xdr:nvPicPr>
        <xdr:cNvPr id="24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39813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1</xdr:col>
      <xdr:colOff>829310</xdr:colOff>
      <xdr:row>275</xdr:row>
      <xdr:rowOff>57785</xdr:rowOff>
    </xdr:to>
    <xdr:pic>
      <xdr:nvPicPr>
        <xdr:cNvPr id="24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39813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1</xdr:col>
      <xdr:colOff>829310</xdr:colOff>
      <xdr:row>275</xdr:row>
      <xdr:rowOff>57785</xdr:rowOff>
    </xdr:to>
    <xdr:pic>
      <xdr:nvPicPr>
        <xdr:cNvPr id="24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39813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1</xdr:col>
      <xdr:colOff>829310</xdr:colOff>
      <xdr:row>275</xdr:row>
      <xdr:rowOff>57785</xdr:rowOff>
    </xdr:to>
    <xdr:pic>
      <xdr:nvPicPr>
        <xdr:cNvPr id="24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39813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1</xdr:col>
      <xdr:colOff>829310</xdr:colOff>
      <xdr:row>275</xdr:row>
      <xdr:rowOff>57785</xdr:rowOff>
    </xdr:to>
    <xdr:pic>
      <xdr:nvPicPr>
        <xdr:cNvPr id="24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0" y="5398135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2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2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2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2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2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2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2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2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2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2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3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3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3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3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3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3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3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3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3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3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4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4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4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4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4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4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4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4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4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4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5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5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5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5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5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5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5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5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5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5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6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6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6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6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6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6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6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6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6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6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7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7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7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7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7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7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7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7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7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7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8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8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8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8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8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8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8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8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8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8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9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9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9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9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9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9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9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9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9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9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0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0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0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0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0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0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0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0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0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0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1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1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1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1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1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1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1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1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1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1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2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2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2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2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2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2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2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2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2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2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3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3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3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3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3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3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13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3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3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3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4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4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4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4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4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4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4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4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4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4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5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5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5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5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5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5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5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5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5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5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6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6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6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6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6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6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6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6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6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6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7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7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7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7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7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7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7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7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7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7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8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8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8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8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8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8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8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8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8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8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9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9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9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9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9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9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9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9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9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19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0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0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0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0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0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0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0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0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0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0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1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1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1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1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1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1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1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1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1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1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2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2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22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22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22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22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115</xdr:row>
      <xdr:rowOff>0</xdr:rowOff>
    </xdr:from>
    <xdr:to>
      <xdr:col>3</xdr:col>
      <xdr:colOff>391160</xdr:colOff>
      <xdr:row>115</xdr:row>
      <xdr:rowOff>57785</xdr:rowOff>
    </xdr:to>
    <xdr:pic>
      <xdr:nvPicPr>
        <xdr:cNvPr id="22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260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2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2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2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3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3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3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3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3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3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3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37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38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39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40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41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42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43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44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45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1943100</xdr:colOff>
      <xdr:row>116</xdr:row>
      <xdr:rowOff>0</xdr:rowOff>
    </xdr:from>
    <xdr:to>
      <xdr:col>3</xdr:col>
      <xdr:colOff>391160</xdr:colOff>
      <xdr:row>116</xdr:row>
      <xdr:rowOff>57785</xdr:rowOff>
    </xdr:to>
    <xdr:pic>
      <xdr:nvPicPr>
        <xdr:cNvPr id="246" name="Picture 2" descr="clip_image5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 flipH="1" flipV="1">
          <a:off x="2533650" y="29514800"/>
          <a:ext cx="1515110" cy="5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0707;&#22068;&#23665;&#20837;&#40644;&#25490;&#27700;&#27807;&#20856;&#20892;&#27827;&#19979;&#27573;&#65288;&#31532;&#19977;&#25490;&#27700;&#27807;&#65289;&#27700;&#29615;&#22659;&#27835;&#29702; &#27010;&#31639;&#65288;&#24800;&#20892;&#21306;&#65289;3.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独立费用"/>
      <sheetName val="监理费用"/>
      <sheetName val="设计费"/>
      <sheetName val="汇总表"/>
      <sheetName val="可研初设对比表"/>
      <sheetName val="总概算"/>
      <sheetName val="建筑概算"/>
      <sheetName val="安装概算"/>
      <sheetName val="单价汇总表"/>
      <sheetName val="新定额单价"/>
      <sheetName val="台时"/>
      <sheetName val="配合比"/>
      <sheetName val="材料预算价"/>
      <sheetName val="工程量汇总表"/>
      <sheetName val="材料分析"/>
      <sheetName val="取费表"/>
      <sheetName val="基础材料表"/>
      <sheetName val="管材"/>
    </sheetNames>
    <sheetDataSet>
      <sheetData sheetId="0"/>
      <sheetData sheetId="1"/>
      <sheetData sheetId="2"/>
      <sheetData sheetId="3"/>
      <sheetData sheetId="4">
        <row r="25">
          <cell r="E25">
            <v>-2345.30981695236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FFC000"/>
  </sheetPr>
  <dimension ref="A2:E56"/>
  <sheetViews>
    <sheetView topLeftCell="A31" workbookViewId="0">
      <selection activeCell="F56" sqref="F56"/>
    </sheetView>
  </sheetViews>
  <sheetFormatPr defaultColWidth="9" defaultRowHeight="15.95" customHeight="1" outlineLevelCol="4"/>
  <cols>
    <col min="1" max="1" width="13.25" customWidth="1"/>
    <col min="2" max="2" width="32.625" style="65" customWidth="1"/>
    <col min="3" max="3" width="11.625" customWidth="1"/>
    <col min="4" max="4" width="15.25" customWidth="1"/>
    <col min="5" max="5" width="17.125" customWidth="1"/>
  </cols>
  <sheetData>
    <row r="2" customHeight="1" spans="1:4">
      <c r="A2" s="388" t="s">
        <v>0</v>
      </c>
      <c r="B2" s="388"/>
      <c r="C2" s="388"/>
      <c r="D2" s="388"/>
    </row>
    <row r="3" customHeight="1" spans="1:4">
      <c r="A3" s="94"/>
      <c r="B3" s="94"/>
      <c r="C3" s="94"/>
      <c r="D3" s="94"/>
    </row>
    <row r="4" customHeight="1" spans="1:5">
      <c r="A4" s="67" t="s">
        <v>1</v>
      </c>
      <c r="B4" s="67" t="s">
        <v>2</v>
      </c>
      <c r="C4" s="67" t="s">
        <v>3</v>
      </c>
      <c r="D4" s="67" t="s">
        <v>4</v>
      </c>
      <c r="E4" s="718">
        <f>总概算核!G16</f>
        <v>3062.00923351074</v>
      </c>
    </row>
    <row r="5" customHeight="1" spans="1:5">
      <c r="A5" s="67"/>
      <c r="B5" s="72">
        <f>总概算核!G16</f>
        <v>3062.00923351074</v>
      </c>
      <c r="C5" s="67"/>
      <c r="D5" s="67"/>
      <c r="E5" s="718"/>
    </row>
    <row r="6" customHeight="1" spans="1:4">
      <c r="A6" s="67">
        <v>1</v>
      </c>
      <c r="B6" s="67">
        <v>500</v>
      </c>
      <c r="C6" s="719">
        <v>0.06</v>
      </c>
      <c r="D6" s="74">
        <f>B6*C6</f>
        <v>30</v>
      </c>
    </row>
    <row r="7" customHeight="1" spans="1:4">
      <c r="A7" s="67">
        <v>2</v>
      </c>
      <c r="B7" s="67" t="s">
        <v>5</v>
      </c>
      <c r="C7" s="267">
        <v>0.047</v>
      </c>
      <c r="D7" s="74">
        <f>(1000-500)*C7</f>
        <v>23.5</v>
      </c>
    </row>
    <row r="8" customHeight="1" spans="1:4">
      <c r="A8" s="67">
        <v>3</v>
      </c>
      <c r="B8" s="67" t="s">
        <v>6</v>
      </c>
      <c r="C8" s="267">
        <v>0.042</v>
      </c>
      <c r="D8" s="74">
        <f>(3000-1000)*C8</f>
        <v>84</v>
      </c>
    </row>
    <row r="9" customHeight="1" spans="1:4">
      <c r="A9" s="67">
        <v>4</v>
      </c>
      <c r="B9" s="74" t="s">
        <v>7</v>
      </c>
      <c r="C9" s="267">
        <v>0.037</v>
      </c>
      <c r="D9" s="74">
        <f>(B5-3000)*C9</f>
        <v>2.29434163989722</v>
      </c>
    </row>
    <row r="10" customHeight="1" spans="1:4">
      <c r="A10" s="67">
        <v>5</v>
      </c>
      <c r="B10" s="67" t="s">
        <v>8</v>
      </c>
      <c r="C10" s="267">
        <v>0.032</v>
      </c>
      <c r="D10" s="74"/>
    </row>
    <row r="11" customHeight="1" spans="1:4">
      <c r="A11" s="67">
        <v>6</v>
      </c>
      <c r="B11" s="67" t="s">
        <v>9</v>
      </c>
      <c r="C11" s="267">
        <v>0.028</v>
      </c>
      <c r="D11" s="74"/>
    </row>
    <row r="12" customHeight="1" spans="1:4">
      <c r="A12" s="67">
        <v>7</v>
      </c>
      <c r="B12" s="67" t="s">
        <v>10</v>
      </c>
      <c r="C12" s="267">
        <v>0.025</v>
      </c>
      <c r="D12" s="74"/>
    </row>
    <row r="13" customHeight="1" spans="1:4">
      <c r="A13" s="67"/>
      <c r="B13" s="67" t="s">
        <v>11</v>
      </c>
      <c r="C13" s="67"/>
      <c r="D13" s="74">
        <f>SUM(D6:D12)</f>
        <v>139.794341639897</v>
      </c>
    </row>
    <row r="14" customHeight="1" spans="1:4">
      <c r="A14" s="720"/>
      <c r="B14" s="721"/>
      <c r="C14" s="74">
        <v>0.8</v>
      </c>
      <c r="D14" s="74">
        <f>D13*C14</f>
        <v>111.835473311918</v>
      </c>
    </row>
    <row r="16" customHeight="1" spans="1:4">
      <c r="A16" s="388" t="s">
        <v>12</v>
      </c>
      <c r="B16" s="388"/>
      <c r="C16" s="388"/>
      <c r="D16" s="388"/>
    </row>
    <row r="17" customHeight="1" spans="1:4">
      <c r="A17" s="94"/>
      <c r="B17" s="94"/>
      <c r="C17" s="94"/>
      <c r="D17" s="94"/>
    </row>
    <row r="18" customHeight="1" spans="1:4">
      <c r="A18" s="67" t="s">
        <v>1</v>
      </c>
      <c r="B18" s="67" t="s">
        <v>2</v>
      </c>
      <c r="C18" s="67" t="s">
        <v>3</v>
      </c>
      <c r="D18" s="67" t="s">
        <v>4</v>
      </c>
    </row>
    <row r="19" customHeight="1" spans="1:4">
      <c r="A19" s="67"/>
      <c r="B19" s="72">
        <f>'总（姚伏）'!C16</f>
        <v>655.77844878198</v>
      </c>
      <c r="C19" s="67"/>
      <c r="D19" s="67"/>
    </row>
    <row r="20" customHeight="1" spans="1:4">
      <c r="A20" s="67">
        <v>1</v>
      </c>
      <c r="B20" s="67">
        <v>500</v>
      </c>
      <c r="C20" s="719">
        <v>0.06</v>
      </c>
      <c r="D20" s="74">
        <f>B20*C20</f>
        <v>30</v>
      </c>
    </row>
    <row r="21" customHeight="1" spans="1:4">
      <c r="A21" s="67">
        <v>2</v>
      </c>
      <c r="B21" s="67" t="s">
        <v>5</v>
      </c>
      <c r="C21" s="267">
        <v>0.047</v>
      </c>
      <c r="D21" s="74">
        <f>(B19-500)*C21</f>
        <v>7.32158709275304</v>
      </c>
    </row>
    <row r="22" customHeight="1" spans="1:4">
      <c r="A22" s="67">
        <v>3</v>
      </c>
      <c r="B22" s="67" t="s">
        <v>6</v>
      </c>
      <c r="C22" s="267">
        <v>0.042</v>
      </c>
      <c r="D22" s="74"/>
    </row>
    <row r="23" customHeight="1" spans="1:4">
      <c r="A23" s="67">
        <v>4</v>
      </c>
      <c r="B23" s="74" t="s">
        <v>7</v>
      </c>
      <c r="C23" s="267">
        <v>0.037</v>
      </c>
      <c r="D23" s="74"/>
    </row>
    <row r="24" customHeight="1" spans="1:4">
      <c r="A24" s="67">
        <v>5</v>
      </c>
      <c r="B24" s="67" t="s">
        <v>8</v>
      </c>
      <c r="C24" s="267">
        <v>0.032</v>
      </c>
      <c r="D24" s="74"/>
    </row>
    <row r="25" customHeight="1" spans="1:4">
      <c r="A25" s="67">
        <v>6</v>
      </c>
      <c r="B25" s="67" t="s">
        <v>9</v>
      </c>
      <c r="C25" s="267">
        <v>0.028</v>
      </c>
      <c r="D25" s="74"/>
    </row>
    <row r="26" customHeight="1" spans="1:4">
      <c r="A26" s="67">
        <v>7</v>
      </c>
      <c r="B26" s="67" t="s">
        <v>10</v>
      </c>
      <c r="C26" s="267">
        <v>0.025</v>
      </c>
      <c r="D26" s="74"/>
    </row>
    <row r="27" customHeight="1" spans="1:4">
      <c r="A27" s="67"/>
      <c r="B27" s="67" t="s">
        <v>11</v>
      </c>
      <c r="C27" s="67"/>
      <c r="D27" s="74">
        <f>SUM(D20:D26)</f>
        <v>37.321587092753</v>
      </c>
    </row>
    <row r="28" customHeight="1" spans="1:4">
      <c r="A28" s="720"/>
      <c r="B28" s="721"/>
      <c r="C28" s="74">
        <v>0.8</v>
      </c>
      <c r="D28" s="74">
        <f>D27*C28</f>
        <v>29.8572696742024</v>
      </c>
    </row>
    <row r="30" customHeight="1" spans="1:4">
      <c r="A30" s="388" t="s">
        <v>13</v>
      </c>
      <c r="B30" s="388"/>
      <c r="C30" s="388"/>
      <c r="D30" s="388"/>
    </row>
    <row r="31" customHeight="1" spans="1:4">
      <c r="A31" s="94"/>
      <c r="B31" s="94"/>
      <c r="C31" s="94"/>
      <c r="D31" s="94"/>
    </row>
    <row r="32" customHeight="1" spans="1:4">
      <c r="A32" s="67" t="s">
        <v>1</v>
      </c>
      <c r="B32" s="67" t="s">
        <v>2</v>
      </c>
      <c r="C32" s="67" t="s">
        <v>3</v>
      </c>
      <c r="D32" s="67" t="s">
        <v>4</v>
      </c>
    </row>
    <row r="33" customHeight="1" spans="1:4">
      <c r="A33" s="67"/>
      <c r="B33" s="72">
        <f>'总（城关）'!C16</f>
        <v>530.584667688143</v>
      </c>
      <c r="C33" s="67"/>
      <c r="D33" s="67"/>
    </row>
    <row r="34" customHeight="1" spans="1:4">
      <c r="A34" s="67">
        <v>1</v>
      </c>
      <c r="B34" s="67">
        <v>500</v>
      </c>
      <c r="C34" s="719">
        <v>0.06</v>
      </c>
      <c r="D34" s="74">
        <f>B34*C34</f>
        <v>30</v>
      </c>
    </row>
    <row r="35" customHeight="1" spans="1:4">
      <c r="A35" s="67">
        <v>2</v>
      </c>
      <c r="B35" s="67" t="s">
        <v>5</v>
      </c>
      <c r="C35" s="267">
        <v>0.047</v>
      </c>
      <c r="D35" s="74">
        <f>(B33-500)*C35</f>
        <v>1.4374793813427</v>
      </c>
    </row>
    <row r="36" customHeight="1" spans="1:4">
      <c r="A36" s="67">
        <v>3</v>
      </c>
      <c r="B36" s="67" t="s">
        <v>6</v>
      </c>
      <c r="C36" s="267">
        <v>0.042</v>
      </c>
      <c r="D36" s="74"/>
    </row>
    <row r="37" customHeight="1" spans="1:4">
      <c r="A37" s="67">
        <v>4</v>
      </c>
      <c r="B37" s="74" t="s">
        <v>7</v>
      </c>
      <c r="C37" s="267">
        <v>0.037</v>
      </c>
      <c r="D37" s="74"/>
    </row>
    <row r="38" customHeight="1" spans="1:4">
      <c r="A38" s="67">
        <v>5</v>
      </c>
      <c r="B38" s="67" t="s">
        <v>8</v>
      </c>
      <c r="C38" s="267">
        <v>0.032</v>
      </c>
      <c r="D38" s="74"/>
    </row>
    <row r="39" customHeight="1" spans="1:4">
      <c r="A39" s="67">
        <v>6</v>
      </c>
      <c r="B39" s="67" t="s">
        <v>9</v>
      </c>
      <c r="C39" s="267">
        <v>0.028</v>
      </c>
      <c r="D39" s="74"/>
    </row>
    <row r="40" customHeight="1" spans="1:4">
      <c r="A40" s="67">
        <v>7</v>
      </c>
      <c r="B40" s="67" t="s">
        <v>10</v>
      </c>
      <c r="C40" s="267">
        <v>0.025</v>
      </c>
      <c r="D40" s="74"/>
    </row>
    <row r="41" customHeight="1" spans="1:4">
      <c r="A41" s="67"/>
      <c r="B41" s="67" t="s">
        <v>11</v>
      </c>
      <c r="C41" s="67"/>
      <c r="D41" s="74">
        <f>SUM(D34:D40)</f>
        <v>31.4374793813427</v>
      </c>
    </row>
    <row r="42" customHeight="1" spans="1:4">
      <c r="A42" s="720"/>
      <c r="B42" s="721"/>
      <c r="C42" s="74">
        <v>0.8</v>
      </c>
      <c r="D42" s="74">
        <f>D41*C42</f>
        <v>25.1499835050742</v>
      </c>
    </row>
    <row r="44" customHeight="1" spans="1:4">
      <c r="A44" s="388" t="s">
        <v>14</v>
      </c>
      <c r="B44" s="388"/>
      <c r="C44" s="388"/>
      <c r="D44" s="388"/>
    </row>
    <row r="45" customHeight="1" spans="1:4">
      <c r="A45" s="94"/>
      <c r="B45" s="94"/>
      <c r="C45" s="94"/>
      <c r="D45" s="94"/>
    </row>
    <row r="46" customHeight="1" spans="1:4">
      <c r="A46" s="67" t="s">
        <v>1</v>
      </c>
      <c r="B46" s="67" t="s">
        <v>2</v>
      </c>
      <c r="C46" s="67" t="s">
        <v>3</v>
      </c>
      <c r="D46" s="67" t="s">
        <v>4</v>
      </c>
    </row>
    <row r="47" customHeight="1" spans="1:4">
      <c r="A47" s="67"/>
      <c r="B47" s="72">
        <f>'总（高庄）'!C16</f>
        <v>1894.40224643702</v>
      </c>
      <c r="C47" s="67"/>
      <c r="D47" s="67"/>
    </row>
    <row r="48" customHeight="1" spans="1:4">
      <c r="A48" s="67">
        <v>1</v>
      </c>
      <c r="B48" s="67">
        <v>500</v>
      </c>
      <c r="C48" s="719">
        <v>0.06</v>
      </c>
      <c r="D48" s="74">
        <f>B48*C48</f>
        <v>30</v>
      </c>
    </row>
    <row r="49" customHeight="1" spans="1:4">
      <c r="A49" s="67">
        <v>2</v>
      </c>
      <c r="B49" s="67" t="s">
        <v>5</v>
      </c>
      <c r="C49" s="267">
        <v>0.047</v>
      </c>
      <c r="D49" s="74">
        <f>(1000-500)*C49</f>
        <v>23.5</v>
      </c>
    </row>
    <row r="50" customHeight="1" spans="1:4">
      <c r="A50" s="67">
        <v>3</v>
      </c>
      <c r="B50" s="67" t="s">
        <v>6</v>
      </c>
      <c r="C50" s="267">
        <v>0.042</v>
      </c>
      <c r="D50" s="74">
        <f>(B47-1000)*C50</f>
        <v>37.5648943503549</v>
      </c>
    </row>
    <row r="51" customHeight="1" spans="1:4">
      <c r="A51" s="67">
        <v>4</v>
      </c>
      <c r="B51" s="74" t="s">
        <v>7</v>
      </c>
      <c r="C51" s="267">
        <v>0.037</v>
      </c>
      <c r="D51" s="74"/>
    </row>
    <row r="52" customHeight="1" spans="1:4">
      <c r="A52" s="67">
        <v>5</v>
      </c>
      <c r="B52" s="67" t="s">
        <v>8</v>
      </c>
      <c r="C52" s="267">
        <v>0.032</v>
      </c>
      <c r="D52" s="74"/>
    </row>
    <row r="53" customHeight="1" spans="1:4">
      <c r="A53" s="67">
        <v>6</v>
      </c>
      <c r="B53" s="67" t="s">
        <v>9</v>
      </c>
      <c r="C53" s="267">
        <v>0.028</v>
      </c>
      <c r="D53" s="74"/>
    </row>
    <row r="54" customHeight="1" spans="1:4">
      <c r="A54" s="67">
        <v>7</v>
      </c>
      <c r="B54" s="67" t="s">
        <v>10</v>
      </c>
      <c r="C54" s="267">
        <v>0.025</v>
      </c>
      <c r="D54" s="74"/>
    </row>
    <row r="55" customHeight="1" spans="1:4">
      <c r="A55" s="67"/>
      <c r="B55" s="67" t="s">
        <v>11</v>
      </c>
      <c r="C55" s="67"/>
      <c r="D55" s="74">
        <f>SUM(D48:D54)</f>
        <v>91.0648943503549</v>
      </c>
    </row>
    <row r="56" customHeight="1" spans="1:4">
      <c r="A56" s="720"/>
      <c r="B56" s="721"/>
      <c r="C56" s="74">
        <v>0.8</v>
      </c>
      <c r="D56" s="74">
        <f>D55*C56</f>
        <v>72.8519154802839</v>
      </c>
    </row>
  </sheetData>
  <sheetProtection formatCells="0" insertHyperlinks="0" autoFilter="0"/>
  <mergeCells count="4">
    <mergeCell ref="A2:D3"/>
    <mergeCell ref="A16:D17"/>
    <mergeCell ref="A30:D31"/>
    <mergeCell ref="A44:D45"/>
  </mergeCells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G192"/>
  <sheetViews>
    <sheetView zoomScale="110" zoomScaleNormal="110" topLeftCell="A154" workbookViewId="0">
      <selection activeCell="H68" sqref="H68"/>
    </sheetView>
  </sheetViews>
  <sheetFormatPr defaultColWidth="9" defaultRowHeight="14.25" outlineLevelCol="6"/>
  <cols>
    <col min="1" max="1" width="7.75" style="229" customWidth="1"/>
    <col min="2" max="2" width="46" style="323" customWidth="1"/>
    <col min="3" max="3" width="7.375" style="229" customWidth="1"/>
    <col min="4" max="4" width="11.125" style="387" customWidth="1"/>
    <col min="5" max="5" width="10.875" style="387" customWidth="1"/>
    <col min="6" max="6" width="11.875" style="387" customWidth="1"/>
    <col min="7" max="7" width="10.75" style="387" customWidth="1"/>
  </cols>
  <sheetData>
    <row r="1" ht="18" customHeight="1" spans="1:7">
      <c r="A1" s="428" t="s">
        <v>595</v>
      </c>
      <c r="B1" s="428"/>
      <c r="C1" s="428"/>
      <c r="D1" s="428"/>
      <c r="E1" s="428"/>
      <c r="F1" s="428"/>
      <c r="G1" s="429"/>
    </row>
    <row r="2" ht="18" customHeight="1" spans="1:7">
      <c r="A2" s="428"/>
      <c r="B2" s="428"/>
      <c r="C2" s="428"/>
      <c r="D2" s="428"/>
      <c r="E2" s="428"/>
      <c r="F2" s="428"/>
      <c r="G2" s="429"/>
    </row>
    <row r="3" ht="18" customHeight="1" spans="1:7">
      <c r="A3" s="430"/>
      <c r="B3" s="430"/>
      <c r="C3" s="430"/>
      <c r="D3" s="430"/>
      <c r="E3" s="430"/>
      <c r="F3" s="430"/>
      <c r="G3" s="429"/>
    </row>
    <row r="4" ht="18" customHeight="1" spans="1:7">
      <c r="A4" s="107" t="s">
        <v>158</v>
      </c>
      <c r="B4" s="107" t="s">
        <v>72</v>
      </c>
      <c r="C4" s="107" t="s">
        <v>159</v>
      </c>
      <c r="D4" s="107" t="s">
        <v>160</v>
      </c>
      <c r="E4" s="107" t="s">
        <v>161</v>
      </c>
      <c r="F4" s="107" t="s">
        <v>162</v>
      </c>
      <c r="G4" s="431"/>
    </row>
    <row r="5" ht="18" customHeight="1" spans="1:7">
      <c r="A5" s="432"/>
      <c r="B5" s="433" t="s">
        <v>77</v>
      </c>
      <c r="C5" s="432"/>
      <c r="D5" s="432"/>
      <c r="E5" s="432"/>
      <c r="F5" s="434">
        <f>F6</f>
        <v>6235795.31879268</v>
      </c>
      <c r="G5" s="435">
        <f>SUM(G7:G154)</f>
        <v>6235795.31879269</v>
      </c>
    </row>
    <row r="6" ht="18" customHeight="1" spans="1:7">
      <c r="A6" s="432"/>
      <c r="B6" s="436" t="s">
        <v>163</v>
      </c>
      <c r="C6" s="432"/>
      <c r="D6" s="432"/>
      <c r="E6" s="432"/>
      <c r="F6" s="434">
        <f>F7+F40+F42+F59</f>
        <v>6235795.31879268</v>
      </c>
      <c r="G6" s="435"/>
    </row>
    <row r="7" ht="18" customHeight="1" spans="1:7">
      <c r="A7" s="432" t="s">
        <v>34</v>
      </c>
      <c r="B7" s="433" t="s">
        <v>164</v>
      </c>
      <c r="C7" s="432"/>
      <c r="D7" s="432"/>
      <c r="E7" s="432"/>
      <c r="F7" s="434">
        <f>F8</f>
        <v>298330.848224739</v>
      </c>
      <c r="G7" s="435"/>
    </row>
    <row r="8" ht="18" customHeight="1" spans="1:7">
      <c r="A8" s="107">
        <v>1</v>
      </c>
      <c r="B8" s="371" t="s">
        <v>179</v>
      </c>
      <c r="C8" s="107"/>
      <c r="D8" s="425"/>
      <c r="E8" s="425"/>
      <c r="F8" s="426">
        <f>F9+F22</f>
        <v>298330.848224739</v>
      </c>
      <c r="G8" s="437">
        <f>D8*E8</f>
        <v>0</v>
      </c>
    </row>
    <row r="9" ht="18" customHeight="1" spans="1:7">
      <c r="A9" s="107">
        <v>1.1</v>
      </c>
      <c r="B9" s="371" t="s">
        <v>190</v>
      </c>
      <c r="C9" s="107"/>
      <c r="D9" s="443"/>
      <c r="E9" s="425"/>
      <c r="F9" s="426">
        <f>F10</f>
        <v>55651.3063832391</v>
      </c>
      <c r="G9" s="437">
        <f t="shared" ref="G9:G43" si="0">D9*E9</f>
        <v>0</v>
      </c>
    </row>
    <row r="10" ht="18" customHeight="1" spans="1:7">
      <c r="A10" s="107" t="s">
        <v>250</v>
      </c>
      <c r="B10" s="371" t="s">
        <v>192</v>
      </c>
      <c r="C10" s="107" t="s">
        <v>193</v>
      </c>
      <c r="D10" s="443">
        <v>1</v>
      </c>
      <c r="E10" s="425"/>
      <c r="F10" s="426">
        <f>SUM(F11:F21)</f>
        <v>55651.3063832391</v>
      </c>
      <c r="G10" s="437">
        <f t="shared" si="0"/>
        <v>0</v>
      </c>
    </row>
    <row r="11" ht="18" customHeight="1" spans="1:7">
      <c r="A11" s="107"/>
      <c r="B11" s="11" t="s">
        <v>168</v>
      </c>
      <c r="C11" s="7" t="s">
        <v>169</v>
      </c>
      <c r="D11" s="455">
        <f>304.5/2</f>
        <v>152.25</v>
      </c>
      <c r="E11" s="425">
        <f>单价汇总表!D8/100+单价汇总表!D10/100*0.55</f>
        <v>5.59741698768687</v>
      </c>
      <c r="F11" s="426">
        <f t="shared" ref="F11:F21" si="1">D11*E11</f>
        <v>852.206736375326</v>
      </c>
      <c r="G11" s="437">
        <f t="shared" si="0"/>
        <v>852.206736375326</v>
      </c>
    </row>
    <row r="12" ht="18" customHeight="1" spans="1:7">
      <c r="A12" s="107"/>
      <c r="B12" s="11" t="s">
        <v>194</v>
      </c>
      <c r="C12" s="7" t="s">
        <v>169</v>
      </c>
      <c r="D12" s="455">
        <f>151.2/2</f>
        <v>75.6</v>
      </c>
      <c r="E12" s="425">
        <f>单价汇总表!D34/100*0.5+单价汇总表!D35/100*0.5</f>
        <v>13.9556177229579</v>
      </c>
      <c r="F12" s="426">
        <f t="shared" si="1"/>
        <v>1055.04469985562</v>
      </c>
      <c r="G12" s="437">
        <f t="shared" si="0"/>
        <v>1055.04469985562</v>
      </c>
    </row>
    <row r="13" ht="18" customHeight="1" spans="1:7">
      <c r="A13" s="107"/>
      <c r="B13" s="11" t="s">
        <v>195</v>
      </c>
      <c r="C13" s="7" t="s">
        <v>169</v>
      </c>
      <c r="D13" s="455">
        <f>46.788/2</f>
        <v>23.394</v>
      </c>
      <c r="E13" s="425">
        <f>单价汇总表!D39/100</f>
        <v>339.924364001393</v>
      </c>
      <c r="F13" s="426">
        <f t="shared" si="1"/>
        <v>7952.19057144859</v>
      </c>
      <c r="G13" s="437">
        <f t="shared" si="0"/>
        <v>7952.19057144859</v>
      </c>
    </row>
    <row r="14" ht="18" customHeight="1" spans="1:7">
      <c r="A14" s="107"/>
      <c r="B14" s="11" t="s">
        <v>196</v>
      </c>
      <c r="C14" s="7" t="s">
        <v>169</v>
      </c>
      <c r="D14" s="455">
        <f>133.8666/2</f>
        <v>66.9333</v>
      </c>
      <c r="E14" s="425">
        <f>单价汇总表!D42/100</f>
        <v>334.4306984649</v>
      </c>
      <c r="F14" s="426">
        <f t="shared" si="1"/>
        <v>22384.5502695607</v>
      </c>
      <c r="G14" s="437">
        <f t="shared" si="0"/>
        <v>22384.5502695607</v>
      </c>
    </row>
    <row r="15" ht="18" customHeight="1" spans="1:7">
      <c r="A15" s="107"/>
      <c r="B15" s="11" t="s">
        <v>197</v>
      </c>
      <c r="C15" s="7" t="s">
        <v>169</v>
      </c>
      <c r="D15" s="455">
        <f>17.64/2</f>
        <v>8.82</v>
      </c>
      <c r="E15" s="425">
        <f>单价汇总表!D83/100</f>
        <v>648.095065697824</v>
      </c>
      <c r="F15" s="426">
        <f t="shared" si="1"/>
        <v>5716.19847945481</v>
      </c>
      <c r="G15" s="437">
        <f t="shared" si="0"/>
        <v>5716.19847945481</v>
      </c>
    </row>
    <row r="16" ht="18" customHeight="1" spans="1:7">
      <c r="A16" s="107"/>
      <c r="B16" s="11" t="s">
        <v>198</v>
      </c>
      <c r="C16" s="7" t="s">
        <v>169</v>
      </c>
      <c r="D16" s="455">
        <f>3.7044/2</f>
        <v>1.8522</v>
      </c>
      <c r="E16" s="425">
        <f>单价汇总表!D106/100</f>
        <v>528.027088954994</v>
      </c>
      <c r="F16" s="426">
        <f t="shared" si="1"/>
        <v>978.01177416244</v>
      </c>
      <c r="G16" s="437">
        <f t="shared" si="0"/>
        <v>978.01177416244</v>
      </c>
    </row>
    <row r="17" ht="18" customHeight="1" spans="1:7">
      <c r="A17" s="107"/>
      <c r="B17" s="11" t="s">
        <v>199</v>
      </c>
      <c r="C17" s="459" t="s">
        <v>200</v>
      </c>
      <c r="D17" s="455">
        <f>0.383229/2</f>
        <v>0.1916145</v>
      </c>
      <c r="E17" s="425">
        <f>单价汇总表!D49</f>
        <v>6774.28452813344</v>
      </c>
      <c r="F17" s="426">
        <f t="shared" si="1"/>
        <v>1298.05114271602</v>
      </c>
      <c r="G17" s="437">
        <f t="shared" si="0"/>
        <v>1298.05114271602</v>
      </c>
    </row>
    <row r="18" ht="18" customHeight="1" spans="1:7">
      <c r="A18" s="107"/>
      <c r="B18" s="406" t="s">
        <v>201</v>
      </c>
      <c r="C18" s="528" t="s">
        <v>167</v>
      </c>
      <c r="D18" s="455">
        <f>18/2</f>
        <v>9</v>
      </c>
      <c r="E18" s="425">
        <f>单价汇总表!D53/100</f>
        <v>831.726181406453</v>
      </c>
      <c r="F18" s="426">
        <f t="shared" si="1"/>
        <v>7485.53563265808</v>
      </c>
      <c r="G18" s="437">
        <f t="shared" si="0"/>
        <v>7485.53563265808</v>
      </c>
    </row>
    <row r="19" ht="18" customHeight="1" spans="1:7">
      <c r="A19" s="107"/>
      <c r="B19" s="11" t="s">
        <v>202</v>
      </c>
      <c r="C19" s="7" t="s">
        <v>169</v>
      </c>
      <c r="D19" s="455">
        <f>13.23/2</f>
        <v>6.615</v>
      </c>
      <c r="E19" s="425">
        <f>单价汇总表!D93/100</f>
        <v>622.020604189982</v>
      </c>
      <c r="F19" s="426">
        <f t="shared" si="1"/>
        <v>4114.66629671673</v>
      </c>
      <c r="G19" s="437">
        <f t="shared" si="0"/>
        <v>4114.66629671673</v>
      </c>
    </row>
    <row r="20" ht="18" customHeight="1" spans="1:7">
      <c r="A20" s="107"/>
      <c r="B20" s="11" t="s">
        <v>596</v>
      </c>
      <c r="C20" s="7" t="s">
        <v>169</v>
      </c>
      <c r="D20" s="455">
        <f>21.168/2</f>
        <v>10.584</v>
      </c>
      <c r="E20" s="425">
        <f>单价汇总表!D44/100</f>
        <v>318.631333832418</v>
      </c>
      <c r="F20" s="426">
        <f t="shared" si="1"/>
        <v>3372.39403728231</v>
      </c>
      <c r="G20" s="437">
        <f t="shared" si="0"/>
        <v>3372.39403728231</v>
      </c>
    </row>
    <row r="21" ht="18" customHeight="1" spans="1:7">
      <c r="A21" s="107"/>
      <c r="B21" s="453" t="s">
        <v>204</v>
      </c>
      <c r="C21" s="454" t="s">
        <v>169</v>
      </c>
      <c r="D21" s="443">
        <f>D15+D16+D19</f>
        <v>17.2872</v>
      </c>
      <c r="E21" s="425">
        <f>单价汇总表!D143</f>
        <v>25.59447122776</v>
      </c>
      <c r="F21" s="426">
        <f t="shared" si="1"/>
        <v>442.456743008533</v>
      </c>
      <c r="G21" s="437">
        <f t="shared" si="0"/>
        <v>442.456743008533</v>
      </c>
    </row>
    <row r="22" ht="18" customHeight="1" spans="1:7">
      <c r="A22" s="107">
        <v>1.2</v>
      </c>
      <c r="B22" s="371" t="s">
        <v>216</v>
      </c>
      <c r="C22" s="107"/>
      <c r="D22" s="443"/>
      <c r="E22" s="425"/>
      <c r="F22" s="426">
        <f>F23+F33</f>
        <v>242679.5418415</v>
      </c>
      <c r="G22" s="437">
        <f t="shared" si="0"/>
        <v>0</v>
      </c>
    </row>
    <row r="23" ht="18" customHeight="1" spans="1:7">
      <c r="A23" s="107" t="s">
        <v>314</v>
      </c>
      <c r="B23" s="371" t="s">
        <v>218</v>
      </c>
      <c r="C23" s="107" t="s">
        <v>193</v>
      </c>
      <c r="D23" s="455">
        <v>5</v>
      </c>
      <c r="E23" s="425"/>
      <c r="F23" s="426">
        <f>SUM(F24:F32)</f>
        <v>120775.051542275</v>
      </c>
      <c r="G23" s="437">
        <f t="shared" si="0"/>
        <v>0</v>
      </c>
    </row>
    <row r="24" ht="18" customHeight="1" spans="1:7">
      <c r="A24" s="107"/>
      <c r="B24" s="11" t="s">
        <v>168</v>
      </c>
      <c r="C24" s="7" t="s">
        <v>169</v>
      </c>
      <c r="D24" s="455">
        <f>354.375/16*5</f>
        <v>110.7421875</v>
      </c>
      <c r="E24" s="425">
        <f>E11</f>
        <v>5.59741698768687</v>
      </c>
      <c r="F24" s="426">
        <f t="shared" ref="F24:F32" si="2">D24*E24</f>
        <v>619.870201566105</v>
      </c>
      <c r="G24" s="437">
        <f t="shared" si="0"/>
        <v>619.870201566105</v>
      </c>
    </row>
    <row r="25" ht="18" customHeight="1" spans="1:7">
      <c r="A25" s="107"/>
      <c r="B25" s="11" t="s">
        <v>194</v>
      </c>
      <c r="C25" s="7" t="s">
        <v>169</v>
      </c>
      <c r="D25" s="455">
        <f>176.526/16*5</f>
        <v>55.164375</v>
      </c>
      <c r="E25" s="425">
        <f>E12</f>
        <v>13.9556177229579</v>
      </c>
      <c r="F25" s="426">
        <f t="shared" si="2"/>
        <v>769.852929425896</v>
      </c>
      <c r="G25" s="437">
        <f t="shared" si="0"/>
        <v>769.852929425896</v>
      </c>
    </row>
    <row r="26" ht="18" customHeight="1" spans="1:7">
      <c r="A26" s="107"/>
      <c r="B26" s="11" t="s">
        <v>219</v>
      </c>
      <c r="C26" s="7" t="s">
        <v>169</v>
      </c>
      <c r="D26" s="455">
        <f>389.76/16*5</f>
        <v>121.8</v>
      </c>
      <c r="E26" s="425">
        <f>单价汇总表!D126/100+单价汇总表!D26/100</f>
        <v>39.6035815993351</v>
      </c>
      <c r="F26" s="426">
        <f t="shared" si="2"/>
        <v>4823.71623879901</v>
      </c>
      <c r="G26" s="437">
        <f t="shared" si="0"/>
        <v>4823.71623879901</v>
      </c>
    </row>
    <row r="27" ht="18" customHeight="1" spans="1:7">
      <c r="A27" s="107"/>
      <c r="B27" s="11" t="s">
        <v>195</v>
      </c>
      <c r="C27" s="7" t="s">
        <v>169</v>
      </c>
      <c r="D27" s="455">
        <f>374.304/16*5</f>
        <v>116.97</v>
      </c>
      <c r="E27" s="425">
        <f>单价汇总表!D39/100</f>
        <v>339.924364001393</v>
      </c>
      <c r="F27" s="426">
        <f t="shared" si="2"/>
        <v>39760.9528572429</v>
      </c>
      <c r="G27" s="437">
        <f t="shared" si="0"/>
        <v>39760.9528572429</v>
      </c>
    </row>
    <row r="28" ht="18" customHeight="1" spans="1:7">
      <c r="A28" s="107"/>
      <c r="B28" s="11" t="s">
        <v>213</v>
      </c>
      <c r="C28" s="7" t="s">
        <v>169</v>
      </c>
      <c r="D28" s="455">
        <f>487.2/16*5</f>
        <v>152.25</v>
      </c>
      <c r="E28" s="425">
        <f>单价汇总表!D42/100</f>
        <v>334.4306984649</v>
      </c>
      <c r="F28" s="426">
        <f t="shared" si="2"/>
        <v>50917.073841281</v>
      </c>
      <c r="G28" s="437">
        <f t="shared" si="0"/>
        <v>50917.073841281</v>
      </c>
    </row>
    <row r="29" ht="18" customHeight="1" spans="1:7">
      <c r="A29" s="107"/>
      <c r="B29" s="11" t="s">
        <v>197</v>
      </c>
      <c r="C29" s="7" t="s">
        <v>169</v>
      </c>
      <c r="D29" s="455">
        <f>82.32/16*5</f>
        <v>25.725</v>
      </c>
      <c r="E29" s="425">
        <f>E15</f>
        <v>648.095065697824</v>
      </c>
      <c r="F29" s="426">
        <f t="shared" si="2"/>
        <v>16672.2455650765</v>
      </c>
      <c r="G29" s="437">
        <f t="shared" si="0"/>
        <v>16672.2455650765</v>
      </c>
    </row>
    <row r="30" ht="18" customHeight="1" spans="1:7">
      <c r="A30" s="107"/>
      <c r="B30" s="11" t="s">
        <v>220</v>
      </c>
      <c r="C30" s="7" t="s">
        <v>169</v>
      </c>
      <c r="D30" s="455">
        <f>14.8176/16*5</f>
        <v>4.6305</v>
      </c>
      <c r="E30" s="425">
        <f>单价汇总表!D108/100</f>
        <v>571.952151590819</v>
      </c>
      <c r="F30" s="426">
        <f t="shared" si="2"/>
        <v>2648.42443794129</v>
      </c>
      <c r="G30" s="437">
        <f t="shared" si="0"/>
        <v>2648.42443794129</v>
      </c>
    </row>
    <row r="31" ht="18" customHeight="1" spans="1:7">
      <c r="A31" s="107"/>
      <c r="B31" s="11" t="s">
        <v>199</v>
      </c>
      <c r="C31" s="459" t="s">
        <v>200</v>
      </c>
      <c r="D31" s="455">
        <f>1.788402/16*5</f>
        <v>0.558875625</v>
      </c>
      <c r="E31" s="425">
        <f>E17</f>
        <v>6774.28452813344</v>
      </c>
      <c r="F31" s="426">
        <f t="shared" si="2"/>
        <v>3785.98249958841</v>
      </c>
      <c r="G31" s="437">
        <f t="shared" si="0"/>
        <v>3785.98249958841</v>
      </c>
    </row>
    <row r="32" ht="18" customHeight="1" spans="1:7">
      <c r="A32" s="107"/>
      <c r="B32" s="453" t="s">
        <v>204</v>
      </c>
      <c r="C32" s="454" t="s">
        <v>169</v>
      </c>
      <c r="D32" s="443">
        <f>D29+D30</f>
        <v>30.3555</v>
      </c>
      <c r="E32" s="425">
        <f>E21</f>
        <v>25.59447122776</v>
      </c>
      <c r="F32" s="426">
        <f t="shared" si="2"/>
        <v>776.932971354269</v>
      </c>
      <c r="G32" s="437">
        <f t="shared" si="0"/>
        <v>776.932971354269</v>
      </c>
    </row>
    <row r="33" ht="18" customHeight="1" spans="1:7">
      <c r="A33" s="7" t="s">
        <v>315</v>
      </c>
      <c r="B33" s="371" t="s">
        <v>225</v>
      </c>
      <c r="C33" s="107" t="s">
        <v>193</v>
      </c>
      <c r="D33" s="443">
        <v>12</v>
      </c>
      <c r="E33" s="425"/>
      <c r="F33" s="426">
        <f>SUM(F34:F39)</f>
        <v>121904.490299225</v>
      </c>
      <c r="G33" s="437">
        <f t="shared" ref="G33:G74" si="3">D33*E33</f>
        <v>0</v>
      </c>
    </row>
    <row r="34" ht="18" customHeight="1" spans="1:7">
      <c r="A34" s="8"/>
      <c r="B34" s="11" t="s">
        <v>168</v>
      </c>
      <c r="C34" s="7" t="s">
        <v>169</v>
      </c>
      <c r="D34" s="443">
        <f>379.31/23*12</f>
        <v>197.900869565217</v>
      </c>
      <c r="E34" s="425">
        <f>建筑概算核!H97</f>
        <v>5.59741698768686</v>
      </c>
      <c r="F34" s="426">
        <f t="shared" ref="F34:F39" si="4">D34*E34</f>
        <v>1107.73368918235</v>
      </c>
      <c r="G34" s="437">
        <f t="shared" si="3"/>
        <v>1107.73368918235</v>
      </c>
    </row>
    <row r="35" ht="18" customHeight="1" spans="1:7">
      <c r="A35" s="8"/>
      <c r="B35" s="11" t="s">
        <v>170</v>
      </c>
      <c r="C35" s="7" t="s">
        <v>169</v>
      </c>
      <c r="D35" s="443">
        <f>211.19/23*12</f>
        <v>110.186086956522</v>
      </c>
      <c r="E35" s="425">
        <f>建筑概算核!H98</f>
        <v>13.9556177229579</v>
      </c>
      <c r="F35" s="426">
        <f t="shared" si="4"/>
        <v>1537.71490795382</v>
      </c>
      <c r="G35" s="437">
        <f t="shared" si="3"/>
        <v>1537.71490795382</v>
      </c>
    </row>
    <row r="36" ht="18" customHeight="1" spans="1:7">
      <c r="A36" s="8"/>
      <c r="B36" s="11" t="s">
        <v>219</v>
      </c>
      <c r="C36" s="7" t="s">
        <v>169</v>
      </c>
      <c r="D36" s="443">
        <f>216.38/23*12</f>
        <v>112.893913043478</v>
      </c>
      <c r="E36" s="425">
        <f>建筑概算核!H99</f>
        <v>39.603581599335</v>
      </c>
      <c r="F36" s="426">
        <f t="shared" si="4"/>
        <v>4471.00329728562</v>
      </c>
      <c r="G36" s="437">
        <f t="shared" si="3"/>
        <v>4471.00329728561</v>
      </c>
    </row>
    <row r="37" ht="18" customHeight="1" spans="1:7">
      <c r="A37" s="8"/>
      <c r="B37" s="11" t="s">
        <v>226</v>
      </c>
      <c r="C37" s="7" t="s">
        <v>169</v>
      </c>
      <c r="D37" s="443">
        <f>336.23/23*12</f>
        <v>175.424347826087</v>
      </c>
      <c r="E37" s="425">
        <f>建筑概算核!H100</f>
        <v>334.4306984649</v>
      </c>
      <c r="F37" s="426">
        <f t="shared" si="4"/>
        <v>58667.2871712278</v>
      </c>
      <c r="G37" s="437">
        <f t="shared" si="3"/>
        <v>58667.2871712278</v>
      </c>
    </row>
    <row r="38" ht="18" customHeight="1" spans="1:7">
      <c r="A38" s="8"/>
      <c r="B38" s="11" t="s">
        <v>227</v>
      </c>
      <c r="C38" s="7" t="s">
        <v>169</v>
      </c>
      <c r="D38" s="443">
        <f>135.24/23*12</f>
        <v>70.56</v>
      </c>
      <c r="E38" s="425">
        <f>建筑概算核!H101</f>
        <v>648.095065697824</v>
      </c>
      <c r="F38" s="426">
        <f t="shared" si="4"/>
        <v>45729.5878356385</v>
      </c>
      <c r="G38" s="437">
        <f t="shared" si="3"/>
        <v>45729.5878356385</v>
      </c>
    </row>
    <row r="39" ht="18" customHeight="1" spans="1:7">
      <c r="A39" s="8"/>
      <c r="B39" s="11" t="s">
        <v>199</v>
      </c>
      <c r="C39" s="459" t="s">
        <v>200</v>
      </c>
      <c r="D39" s="443">
        <f>2.94/23*12</f>
        <v>1.53391304347826</v>
      </c>
      <c r="E39" s="425">
        <f>建筑概算核!H102</f>
        <v>6774.28452813344</v>
      </c>
      <c r="F39" s="426">
        <f t="shared" si="4"/>
        <v>10391.1633979369</v>
      </c>
      <c r="G39" s="437">
        <f t="shared" si="3"/>
        <v>10391.1633979369</v>
      </c>
    </row>
    <row r="40" ht="18" customHeight="1" spans="1:7">
      <c r="A40" s="432" t="s">
        <v>46</v>
      </c>
      <c r="B40" s="433" t="s">
        <v>228</v>
      </c>
      <c r="C40" s="432" t="s">
        <v>229</v>
      </c>
      <c r="D40" s="463">
        <v>10.96</v>
      </c>
      <c r="E40" s="464"/>
      <c r="F40" s="434">
        <f>F41</f>
        <v>1137251.89817893</v>
      </c>
      <c r="G40" s="437">
        <f t="shared" si="3"/>
        <v>0</v>
      </c>
    </row>
    <row r="41" ht="18" customHeight="1" spans="1:7">
      <c r="A41" s="107"/>
      <c r="B41" s="371" t="s">
        <v>230</v>
      </c>
      <c r="C41" s="107" t="s">
        <v>169</v>
      </c>
      <c r="D41" s="443">
        <v>42813.75</v>
      </c>
      <c r="E41" s="425">
        <f>新定额单价!$F$339/100+0.77*1.55*5*1.09</f>
        <v>26.5627724312618</v>
      </c>
      <c r="F41" s="426">
        <f t="shared" ref="F41:F46" si="5">D41*E41</f>
        <v>1137251.89817893</v>
      </c>
      <c r="G41" s="437">
        <f t="shared" si="3"/>
        <v>1137251.89817893</v>
      </c>
    </row>
    <row r="42" ht="18" customHeight="1" spans="1:7">
      <c r="A42" s="432" t="s">
        <v>83</v>
      </c>
      <c r="B42" s="433" t="s">
        <v>231</v>
      </c>
      <c r="C42" s="432"/>
      <c r="D42" s="463"/>
      <c r="E42" s="464"/>
      <c r="F42" s="434">
        <f>F43+F51+F55</f>
        <v>2748069.78719739</v>
      </c>
      <c r="G42" s="437">
        <f t="shared" si="3"/>
        <v>0</v>
      </c>
    </row>
    <row r="43" ht="18" customHeight="1" spans="1:7">
      <c r="A43" s="107">
        <v>1</v>
      </c>
      <c r="B43" s="371" t="s">
        <v>232</v>
      </c>
      <c r="C43" s="107"/>
      <c r="D43" s="443"/>
      <c r="E43" s="425"/>
      <c r="F43" s="426">
        <f>F44+F47+F49</f>
        <v>2457450.98728127</v>
      </c>
      <c r="G43" s="437">
        <f t="shared" si="3"/>
        <v>0</v>
      </c>
    </row>
    <row r="44" ht="18" customHeight="1" spans="1:7">
      <c r="A44" s="107">
        <v>1.1</v>
      </c>
      <c r="B44" s="371" t="s">
        <v>233</v>
      </c>
      <c r="C44" s="107"/>
      <c r="D44" s="443"/>
      <c r="E44" s="425"/>
      <c r="F44" s="426">
        <f>F45+F46</f>
        <v>647070.142783574</v>
      </c>
      <c r="G44" s="437">
        <f t="shared" si="3"/>
        <v>0</v>
      </c>
    </row>
    <row r="45" ht="18" customHeight="1" spans="1:7">
      <c r="A45" s="107"/>
      <c r="B45" s="371" t="s">
        <v>234</v>
      </c>
      <c r="C45" s="7" t="s">
        <v>169</v>
      </c>
      <c r="D45" s="535">
        <v>46462.5</v>
      </c>
      <c r="E45" s="425">
        <f>单价汇总表!D11/100</f>
        <v>4.34148945589341</v>
      </c>
      <c r="F45" s="426">
        <f t="shared" si="5"/>
        <v>201716.453844448</v>
      </c>
      <c r="G45" s="437">
        <f t="shared" si="3"/>
        <v>201716.453844448</v>
      </c>
    </row>
    <row r="46" ht="18" customHeight="1" spans="1:7">
      <c r="A46" s="107"/>
      <c r="B46" s="371" t="s">
        <v>235</v>
      </c>
      <c r="C46" s="7" t="s">
        <v>169</v>
      </c>
      <c r="D46" s="535">
        <v>15487.5</v>
      </c>
      <c r="E46" s="425">
        <f>新定额单价!F60/100+单价汇总表!D25/100+(10-5)*1.55*0.77*1.09</f>
        <v>28.7556861300485</v>
      </c>
      <c r="F46" s="426">
        <f t="shared" si="5"/>
        <v>445353.688939126</v>
      </c>
      <c r="G46" s="437">
        <f t="shared" si="3"/>
        <v>445353.688939126</v>
      </c>
    </row>
    <row r="47" ht="18" customHeight="1" spans="1:7">
      <c r="A47" s="107">
        <v>1.2</v>
      </c>
      <c r="B47" s="371" t="s">
        <v>236</v>
      </c>
      <c r="C47" s="7"/>
      <c r="D47" s="535"/>
      <c r="E47" s="425"/>
      <c r="F47" s="426">
        <f>SUM(F48:F48)</f>
        <v>353621.19572015</v>
      </c>
      <c r="G47" s="437">
        <f t="shared" si="3"/>
        <v>0</v>
      </c>
    </row>
    <row r="48" ht="18" customHeight="1" spans="1:7">
      <c r="A48" s="107"/>
      <c r="B48" s="371" t="s">
        <v>237</v>
      </c>
      <c r="C48" s="7" t="s">
        <v>175</v>
      </c>
      <c r="D48" s="535">
        <v>154875</v>
      </c>
      <c r="E48" s="425">
        <f>新定额单价!F5432/100</f>
        <v>2.28326841465795</v>
      </c>
      <c r="F48" s="426">
        <f t="shared" ref="F48:F54" si="6">D48*E48</f>
        <v>353621.19572015</v>
      </c>
      <c r="G48" s="437">
        <f t="shared" si="3"/>
        <v>353621.19572015</v>
      </c>
    </row>
    <row r="49" ht="18" customHeight="1" spans="1:7">
      <c r="A49" s="107">
        <v>1.3</v>
      </c>
      <c r="B49" s="371" t="s">
        <v>238</v>
      </c>
      <c r="C49" s="7"/>
      <c r="D49" s="535"/>
      <c r="E49" s="425"/>
      <c r="F49" s="426">
        <f>F50</f>
        <v>1456759.64877755</v>
      </c>
      <c r="G49" s="437">
        <f t="shared" si="3"/>
        <v>0</v>
      </c>
    </row>
    <row r="50" ht="18" customHeight="1" spans="1:7">
      <c r="A50" s="107"/>
      <c r="B50" s="371" t="s">
        <v>239</v>
      </c>
      <c r="C50" s="7" t="s">
        <v>175</v>
      </c>
      <c r="D50" s="535">
        <v>154875</v>
      </c>
      <c r="E50" s="425">
        <f>单价汇总表!$D$187</f>
        <v>9.40603485893498</v>
      </c>
      <c r="F50" s="426">
        <f t="shared" si="6"/>
        <v>1456759.64877755</v>
      </c>
      <c r="G50" s="437">
        <f t="shared" si="3"/>
        <v>1456759.64877755</v>
      </c>
    </row>
    <row r="51" ht="18" customHeight="1" spans="1:7">
      <c r="A51" s="107">
        <v>2</v>
      </c>
      <c r="B51" s="371" t="s">
        <v>240</v>
      </c>
      <c r="C51" s="7"/>
      <c r="D51" s="535"/>
      <c r="E51" s="425"/>
      <c r="F51" s="426">
        <f>SUM(F52:F54)</f>
        <v>210280.337862755</v>
      </c>
      <c r="G51" s="437">
        <f t="shared" si="3"/>
        <v>0</v>
      </c>
    </row>
    <row r="52" ht="18" customHeight="1" spans="1:7">
      <c r="A52" s="107"/>
      <c r="B52" s="371" t="s">
        <v>235</v>
      </c>
      <c r="C52" s="7" t="s">
        <v>169</v>
      </c>
      <c r="D52" s="535">
        <v>1443.75</v>
      </c>
      <c r="E52" s="425">
        <f>E46</f>
        <v>28.7556861300485</v>
      </c>
      <c r="F52" s="426">
        <f t="shared" si="6"/>
        <v>41516.0218502575</v>
      </c>
      <c r="G52" s="437">
        <f t="shared" si="3"/>
        <v>41516.0218502575</v>
      </c>
    </row>
    <row r="53" ht="18" customHeight="1" spans="1:7">
      <c r="A53" s="107"/>
      <c r="B53" s="466" t="s">
        <v>241</v>
      </c>
      <c r="C53" s="7" t="s">
        <v>175</v>
      </c>
      <c r="D53" s="535">
        <v>14437.5</v>
      </c>
      <c r="E53" s="425">
        <f>E48</f>
        <v>2.28326841465795</v>
      </c>
      <c r="F53" s="426">
        <f t="shared" si="6"/>
        <v>32964.6877366242</v>
      </c>
      <c r="G53" s="437">
        <f t="shared" si="3"/>
        <v>32964.6877366242</v>
      </c>
    </row>
    <row r="54" ht="18" customHeight="1" spans="1:7">
      <c r="A54" s="107"/>
      <c r="B54" s="371" t="s">
        <v>242</v>
      </c>
      <c r="C54" s="7" t="s">
        <v>175</v>
      </c>
      <c r="D54" s="535">
        <v>14437.5</v>
      </c>
      <c r="E54" s="425">
        <f>E50</f>
        <v>9.40603485893498</v>
      </c>
      <c r="F54" s="426">
        <f t="shared" si="6"/>
        <v>135799.628275874</v>
      </c>
      <c r="G54" s="437">
        <f t="shared" si="3"/>
        <v>135799.628275874</v>
      </c>
    </row>
    <row r="55" ht="18" customHeight="1" spans="1:7">
      <c r="A55" s="107">
        <v>3</v>
      </c>
      <c r="B55" s="371" t="s">
        <v>243</v>
      </c>
      <c r="C55" s="7"/>
      <c r="D55" s="535"/>
      <c r="E55" s="425"/>
      <c r="F55" s="426">
        <f>F57+F58+F56</f>
        <v>80338.462053365</v>
      </c>
      <c r="G55" s="437">
        <f t="shared" si="3"/>
        <v>0</v>
      </c>
    </row>
    <row r="56" ht="18" customHeight="1" spans="1:7">
      <c r="A56" s="107"/>
      <c r="B56" s="371" t="s">
        <v>235</v>
      </c>
      <c r="C56" s="7" t="s">
        <v>169</v>
      </c>
      <c r="D56" s="535">
        <v>288.75</v>
      </c>
      <c r="E56" s="425">
        <f>E52</f>
        <v>28.7556861300485</v>
      </c>
      <c r="F56" s="426">
        <f t="shared" ref="F56:F58" si="7">D56*E56</f>
        <v>8303.2043700515</v>
      </c>
      <c r="G56" s="437">
        <f t="shared" si="3"/>
        <v>8303.2043700515</v>
      </c>
    </row>
    <row r="57" ht="18" customHeight="1" spans="1:7">
      <c r="A57" s="107"/>
      <c r="B57" s="466" t="s">
        <v>244</v>
      </c>
      <c r="C57" s="7" t="s">
        <v>175</v>
      </c>
      <c r="D57" s="535">
        <v>2625</v>
      </c>
      <c r="E57" s="425">
        <f>新定额单价!L5432/100</f>
        <v>18.0359680680416</v>
      </c>
      <c r="F57" s="426">
        <f t="shared" si="7"/>
        <v>47344.4161786092</v>
      </c>
      <c r="G57" s="437">
        <f t="shared" si="3"/>
        <v>47344.4161786092</v>
      </c>
    </row>
    <row r="58" ht="18" customHeight="1" spans="1:7">
      <c r="A58" s="107"/>
      <c r="B58" s="371" t="s">
        <v>245</v>
      </c>
      <c r="C58" s="7" t="s">
        <v>175</v>
      </c>
      <c r="D58" s="535">
        <v>2625</v>
      </c>
      <c r="E58" s="425">
        <f>单价汇总表!$D$187</f>
        <v>9.40603485893498</v>
      </c>
      <c r="F58" s="426">
        <f t="shared" si="7"/>
        <v>24690.8415047043</v>
      </c>
      <c r="G58" s="437">
        <f t="shared" si="3"/>
        <v>24690.8415047043</v>
      </c>
    </row>
    <row r="59" ht="18" customHeight="1" spans="1:7">
      <c r="A59" s="432" t="s">
        <v>121</v>
      </c>
      <c r="B59" s="433" t="s">
        <v>246</v>
      </c>
      <c r="C59" s="7"/>
      <c r="D59" s="467"/>
      <c r="E59" s="425"/>
      <c r="F59" s="434">
        <f>F60+F95</f>
        <v>2052142.78519161</v>
      </c>
      <c r="G59" s="437">
        <f t="shared" si="3"/>
        <v>0</v>
      </c>
    </row>
    <row r="60" ht="18" customHeight="1" spans="1:7">
      <c r="A60" s="468">
        <v>1</v>
      </c>
      <c r="B60" s="418" t="s">
        <v>247</v>
      </c>
      <c r="C60" s="468" t="s">
        <v>248</v>
      </c>
      <c r="D60" s="443"/>
      <c r="E60" s="425"/>
      <c r="F60" s="434">
        <f>F61</f>
        <v>312623.971724064</v>
      </c>
      <c r="G60" s="437">
        <f t="shared" si="3"/>
        <v>0</v>
      </c>
    </row>
    <row r="61" ht="18" customHeight="1" spans="1:7">
      <c r="A61" s="5">
        <v>1.1</v>
      </c>
      <c r="B61" s="391" t="s">
        <v>249</v>
      </c>
      <c r="C61" s="378"/>
      <c r="D61" s="443"/>
      <c r="E61" s="425"/>
      <c r="F61" s="434">
        <f>F62+F73+F87</f>
        <v>312623.971724064</v>
      </c>
      <c r="G61" s="437">
        <f t="shared" si="3"/>
        <v>0</v>
      </c>
    </row>
    <row r="62" ht="18" customHeight="1" spans="1:7">
      <c r="A62" s="378" t="s">
        <v>250</v>
      </c>
      <c r="B62" s="11" t="s">
        <v>278</v>
      </c>
      <c r="C62" s="7" t="s">
        <v>193</v>
      </c>
      <c r="D62" s="443">
        <v>1</v>
      </c>
      <c r="E62" s="425"/>
      <c r="F62" s="426">
        <f>SUM(F63:F72)</f>
        <v>195435.500617633</v>
      </c>
      <c r="G62" s="437">
        <f t="shared" si="3"/>
        <v>0</v>
      </c>
    </row>
    <row r="63" ht="18" customHeight="1" spans="1:7">
      <c r="A63" s="378"/>
      <c r="B63" s="470" t="s">
        <v>279</v>
      </c>
      <c r="C63" s="471" t="s">
        <v>169</v>
      </c>
      <c r="D63" s="443">
        <v>184.88</v>
      </c>
      <c r="E63" s="425">
        <f>单价汇总表!D19/100</f>
        <v>9.15967136570967</v>
      </c>
      <c r="F63" s="426">
        <f t="shared" ref="F63:F73" si="8">D63*E63</f>
        <v>1693.4400420924</v>
      </c>
      <c r="G63" s="437">
        <f t="shared" si="3"/>
        <v>1693.4400420924</v>
      </c>
    </row>
    <row r="64" ht="18" customHeight="1" spans="1:7">
      <c r="A64" s="378"/>
      <c r="B64" s="406" t="s">
        <v>280</v>
      </c>
      <c r="C64" s="7" t="s">
        <v>169</v>
      </c>
      <c r="D64" s="443">
        <v>396.45</v>
      </c>
      <c r="E64" s="425">
        <f>建筑概算核!H164</f>
        <v>5.59741698768686</v>
      </c>
      <c r="F64" s="426">
        <f t="shared" si="8"/>
        <v>2219.09596476846</v>
      </c>
      <c r="G64" s="437">
        <f t="shared" si="3"/>
        <v>2219.09596476846</v>
      </c>
    </row>
    <row r="65" ht="18" customHeight="1" spans="1:7">
      <c r="A65" s="378"/>
      <c r="B65" s="406" t="s">
        <v>281</v>
      </c>
      <c r="C65" s="7" t="s">
        <v>169</v>
      </c>
      <c r="D65" s="443">
        <v>312.36</v>
      </c>
      <c r="E65" s="425">
        <f>建筑概算核!H165</f>
        <v>13.9556177229579</v>
      </c>
      <c r="F65" s="426">
        <f t="shared" si="8"/>
        <v>4359.17675194313</v>
      </c>
      <c r="G65" s="437">
        <f t="shared" si="3"/>
        <v>4359.17675194313</v>
      </c>
    </row>
    <row r="66" ht="18" customHeight="1" spans="1:7">
      <c r="A66" s="378"/>
      <c r="B66" s="11" t="s">
        <v>282</v>
      </c>
      <c r="C66" s="7" t="s">
        <v>169</v>
      </c>
      <c r="D66" s="443">
        <v>19</v>
      </c>
      <c r="E66" s="425">
        <f>单价汇总表!D94/100</f>
        <v>583.257794671639</v>
      </c>
      <c r="F66" s="426">
        <f t="shared" si="8"/>
        <v>11081.8980987611</v>
      </c>
      <c r="G66" s="437">
        <f t="shared" si="3"/>
        <v>11081.8980987611</v>
      </c>
    </row>
    <row r="67" ht="18" customHeight="1" spans="1:7">
      <c r="A67" s="378"/>
      <c r="B67" s="11" t="s">
        <v>283</v>
      </c>
      <c r="C67" s="7" t="s">
        <v>169</v>
      </c>
      <c r="D67" s="443">
        <v>51.05</v>
      </c>
      <c r="E67" s="425">
        <v>217.66</v>
      </c>
      <c r="F67" s="426">
        <f t="shared" si="8"/>
        <v>11111.543</v>
      </c>
      <c r="G67" s="437">
        <f t="shared" si="3"/>
        <v>11111.543</v>
      </c>
    </row>
    <row r="68" ht="18" customHeight="1" spans="1:7">
      <c r="A68" s="378"/>
      <c r="B68" s="11" t="s">
        <v>285</v>
      </c>
      <c r="C68" s="7" t="s">
        <v>169</v>
      </c>
      <c r="D68" s="443">
        <v>67.35</v>
      </c>
      <c r="E68" s="425">
        <f>单价汇总表!D31/100</f>
        <v>12.9724899040303</v>
      </c>
      <c r="F68" s="426">
        <f t="shared" si="8"/>
        <v>873.697195036441</v>
      </c>
      <c r="G68" s="437">
        <f t="shared" si="3"/>
        <v>873.697195036441</v>
      </c>
    </row>
    <row r="69" ht="18" customHeight="1" spans="1:7">
      <c r="A69" s="378"/>
      <c r="B69" s="473" t="s">
        <v>287</v>
      </c>
      <c r="C69" s="474" t="s">
        <v>169</v>
      </c>
      <c r="D69" s="443">
        <v>0.216</v>
      </c>
      <c r="E69" s="425">
        <f>单价汇总表!D79/100</f>
        <v>574.648992970568</v>
      </c>
      <c r="F69" s="426">
        <f t="shared" si="8"/>
        <v>124.124182481643</v>
      </c>
      <c r="G69" s="437">
        <f t="shared" ref="G69:G102" si="9">D69*E69</f>
        <v>124.124182481643</v>
      </c>
    </row>
    <row r="70" ht="18" customHeight="1" spans="1:7">
      <c r="A70" s="378"/>
      <c r="B70" s="473" t="s">
        <v>288</v>
      </c>
      <c r="C70" s="474" t="s">
        <v>169</v>
      </c>
      <c r="D70" s="443">
        <v>12.67</v>
      </c>
      <c r="E70" s="425">
        <f>单价汇总表!D86/100</f>
        <v>500.913286409664</v>
      </c>
      <c r="F70" s="426">
        <f t="shared" si="8"/>
        <v>6346.57133881044</v>
      </c>
      <c r="G70" s="437">
        <f t="shared" si="9"/>
        <v>6346.57133881044</v>
      </c>
    </row>
    <row r="71" ht="18" customHeight="1" spans="1:7">
      <c r="A71" s="378"/>
      <c r="B71" s="473" t="s">
        <v>214</v>
      </c>
      <c r="C71" s="474" t="s">
        <v>200</v>
      </c>
      <c r="D71" s="443">
        <v>0.204</v>
      </c>
      <c r="E71" s="425">
        <f>单价汇总表!D49</f>
        <v>6774.28452813344</v>
      </c>
      <c r="F71" s="426">
        <f t="shared" si="8"/>
        <v>1381.95404373922</v>
      </c>
      <c r="G71" s="437">
        <f t="shared" si="9"/>
        <v>1381.95404373922</v>
      </c>
    </row>
    <row r="72" ht="18" customHeight="1" spans="1:7">
      <c r="A72" s="378"/>
      <c r="B72" s="11" t="s">
        <v>289</v>
      </c>
      <c r="C72" s="471" t="s">
        <v>175</v>
      </c>
      <c r="D72" s="443">
        <v>71.02</v>
      </c>
      <c r="E72" s="425">
        <v>2200</v>
      </c>
      <c r="F72" s="426">
        <f t="shared" si="8"/>
        <v>156244</v>
      </c>
      <c r="G72" s="437">
        <f t="shared" si="9"/>
        <v>156244</v>
      </c>
    </row>
    <row r="73" ht="18" customHeight="1" spans="1:7">
      <c r="A73" s="7" t="s">
        <v>257</v>
      </c>
      <c r="B73" s="475" t="s">
        <v>290</v>
      </c>
      <c r="C73" s="476"/>
      <c r="D73" s="443"/>
      <c r="E73" s="425"/>
      <c r="F73" s="426">
        <f>SUM(F74:F86)</f>
        <v>115046.19516263</v>
      </c>
      <c r="G73" s="437">
        <f t="shared" si="9"/>
        <v>0</v>
      </c>
    </row>
    <row r="74" ht="18" customHeight="1" spans="1:7">
      <c r="A74" s="7"/>
      <c r="B74" s="406" t="s">
        <v>291</v>
      </c>
      <c r="C74" s="7" t="s">
        <v>169</v>
      </c>
      <c r="D74" s="443">
        <v>309.402624</v>
      </c>
      <c r="E74" s="425">
        <f>E64</f>
        <v>5.59741698768686</v>
      </c>
      <c r="F74" s="426">
        <f t="shared" ref="F74:F86" si="10">D74*E74</f>
        <v>1731.85550361249</v>
      </c>
      <c r="G74" s="437">
        <f t="shared" si="9"/>
        <v>1731.85550361249</v>
      </c>
    </row>
    <row r="75" ht="18" customHeight="1" spans="1:7">
      <c r="A75" s="7"/>
      <c r="B75" s="406" t="s">
        <v>292</v>
      </c>
      <c r="C75" s="7" t="s">
        <v>169</v>
      </c>
      <c r="D75" s="443">
        <v>100.0224</v>
      </c>
      <c r="E75" s="425">
        <f>E65</f>
        <v>13.9556177229579</v>
      </c>
      <c r="F75" s="426">
        <f t="shared" si="10"/>
        <v>1395.87437813278</v>
      </c>
      <c r="G75" s="437">
        <f t="shared" si="9"/>
        <v>1395.87437813278</v>
      </c>
    </row>
    <row r="76" ht="18" customHeight="1" spans="1:7">
      <c r="A76" s="7"/>
      <c r="B76" s="406" t="s">
        <v>293</v>
      </c>
      <c r="C76" s="7" t="s">
        <v>169</v>
      </c>
      <c r="D76" s="443">
        <v>57.1642</v>
      </c>
      <c r="E76" s="425">
        <f>单价汇总表!D117/100</f>
        <v>977.945649219147</v>
      </c>
      <c r="F76" s="426">
        <f t="shared" si="10"/>
        <v>55903.4806810932</v>
      </c>
      <c r="G76" s="437">
        <f t="shared" si="9"/>
        <v>55903.4806810932</v>
      </c>
    </row>
    <row r="77" ht="18" customHeight="1" spans="1:7">
      <c r="A77" s="7"/>
      <c r="B77" s="406" t="s">
        <v>294</v>
      </c>
      <c r="C77" s="7" t="s">
        <v>169</v>
      </c>
      <c r="D77" s="443">
        <v>15.71556</v>
      </c>
      <c r="E77" s="425">
        <f>单价汇总表!D118/100</f>
        <v>583.06661449156</v>
      </c>
      <c r="F77" s="426">
        <f t="shared" si="10"/>
        <v>9163.21836403898</v>
      </c>
      <c r="G77" s="437">
        <f t="shared" si="9"/>
        <v>9163.21836403898</v>
      </c>
    </row>
    <row r="78" ht="18" customHeight="1" spans="1:7">
      <c r="A78" s="7"/>
      <c r="B78" s="406" t="s">
        <v>295</v>
      </c>
      <c r="C78" s="7" t="s">
        <v>169</v>
      </c>
      <c r="D78" s="443">
        <v>0.968</v>
      </c>
      <c r="E78" s="425">
        <f>单价汇总表!D79/100</f>
        <v>574.648992970568</v>
      </c>
      <c r="F78" s="426">
        <f t="shared" si="10"/>
        <v>556.26022519551</v>
      </c>
      <c r="G78" s="437">
        <f t="shared" si="9"/>
        <v>556.26022519551</v>
      </c>
    </row>
    <row r="79" ht="18" customHeight="1" spans="1:7">
      <c r="A79" s="7"/>
      <c r="B79" s="406" t="s">
        <v>296</v>
      </c>
      <c r="C79" s="7" t="s">
        <v>169</v>
      </c>
      <c r="D79" s="443">
        <v>1</v>
      </c>
      <c r="E79" s="425">
        <f>单价汇总表!D84/100</f>
        <v>608.128267909413</v>
      </c>
      <c r="F79" s="426">
        <f t="shared" si="10"/>
        <v>608.128267909413</v>
      </c>
      <c r="G79" s="437">
        <f t="shared" si="9"/>
        <v>608.128267909413</v>
      </c>
    </row>
    <row r="80" ht="18" customHeight="1" spans="1:7">
      <c r="A80" s="7"/>
      <c r="B80" s="406" t="s">
        <v>297</v>
      </c>
      <c r="C80" s="7" t="s">
        <v>169</v>
      </c>
      <c r="D80" s="443">
        <v>2.24508</v>
      </c>
      <c r="E80" s="425">
        <f>E70</f>
        <v>500.913286409664</v>
      </c>
      <c r="F80" s="426">
        <f t="shared" si="10"/>
        <v>1124.59040105261</v>
      </c>
      <c r="G80" s="437">
        <f t="shared" si="9"/>
        <v>1124.59040105261</v>
      </c>
    </row>
    <row r="81" ht="18" customHeight="1" spans="1:7">
      <c r="A81" s="7"/>
      <c r="B81" s="406" t="s">
        <v>298</v>
      </c>
      <c r="C81" s="7" t="s">
        <v>169</v>
      </c>
      <c r="D81" s="443">
        <v>0.484</v>
      </c>
      <c r="E81" s="425">
        <f>E77</f>
        <v>583.06661449156</v>
      </c>
      <c r="F81" s="426">
        <f t="shared" si="10"/>
        <v>282.204241413915</v>
      </c>
      <c r="G81" s="437">
        <f t="shared" si="9"/>
        <v>282.204241413915</v>
      </c>
    </row>
    <row r="82" ht="18" customHeight="1" spans="1:7">
      <c r="A82" s="7"/>
      <c r="B82" s="406" t="s">
        <v>214</v>
      </c>
      <c r="C82" s="7" t="s">
        <v>200</v>
      </c>
      <c r="D82" s="443">
        <v>0.74367513472</v>
      </c>
      <c r="E82" s="425">
        <f>E71</f>
        <v>6774.28452813344</v>
      </c>
      <c r="F82" s="426">
        <f t="shared" si="10"/>
        <v>5037.86695909125</v>
      </c>
      <c r="G82" s="437">
        <f t="shared" si="9"/>
        <v>5037.86695909125</v>
      </c>
    </row>
    <row r="83" ht="18" customHeight="1" spans="1:7">
      <c r="A83" s="7"/>
      <c r="B83" s="406" t="s">
        <v>299</v>
      </c>
      <c r="C83" s="7" t="s">
        <v>200</v>
      </c>
      <c r="D83" s="443">
        <v>1.35</v>
      </c>
      <c r="E83" s="425">
        <f>E82*1.05</f>
        <v>7112.99875454011</v>
      </c>
      <c r="F83" s="426">
        <f t="shared" si="10"/>
        <v>9602.54831862915</v>
      </c>
      <c r="G83" s="437">
        <f t="shared" si="9"/>
        <v>9602.54831862915</v>
      </c>
    </row>
    <row r="84" ht="18" customHeight="1" spans="1:7">
      <c r="A84" s="7"/>
      <c r="B84" s="406" t="s">
        <v>300</v>
      </c>
      <c r="C84" s="7" t="s">
        <v>200</v>
      </c>
      <c r="D84" s="443">
        <v>1.56</v>
      </c>
      <c r="E84" s="425">
        <f>E83</f>
        <v>7112.99875454011</v>
      </c>
      <c r="F84" s="426">
        <f t="shared" si="10"/>
        <v>11096.2780570826</v>
      </c>
      <c r="G84" s="437">
        <f t="shared" si="9"/>
        <v>11096.2780570826</v>
      </c>
    </row>
    <row r="85" ht="18" customHeight="1" spans="1:7">
      <c r="A85" s="7"/>
      <c r="B85" s="406" t="s">
        <v>301</v>
      </c>
      <c r="C85" s="7" t="s">
        <v>169</v>
      </c>
      <c r="D85" s="443">
        <v>0.72</v>
      </c>
      <c r="E85" s="425">
        <v>24000</v>
      </c>
      <c r="F85" s="426">
        <f t="shared" si="10"/>
        <v>17280</v>
      </c>
      <c r="G85" s="437">
        <f t="shared" si="9"/>
        <v>17280</v>
      </c>
    </row>
    <row r="86" ht="18" customHeight="1" spans="1:7">
      <c r="A86" s="7"/>
      <c r="B86" s="406" t="s">
        <v>302</v>
      </c>
      <c r="C86" s="7" t="s">
        <v>175</v>
      </c>
      <c r="D86" s="443">
        <v>5.8</v>
      </c>
      <c r="E86" s="425">
        <f>新定额单价!L3244/100</f>
        <v>217.912028513414</v>
      </c>
      <c r="F86" s="426">
        <f t="shared" si="10"/>
        <v>1263.8897653778</v>
      </c>
      <c r="G86" s="437">
        <f t="shared" si="9"/>
        <v>1263.8897653778</v>
      </c>
    </row>
    <row r="87" ht="18" customHeight="1" spans="1:7">
      <c r="A87" s="378" t="s">
        <v>270</v>
      </c>
      <c r="B87" s="477" t="s">
        <v>303</v>
      </c>
      <c r="C87" s="478" t="s">
        <v>193</v>
      </c>
      <c r="D87" s="425">
        <v>1</v>
      </c>
      <c r="E87" s="425"/>
      <c r="F87" s="426">
        <f>SUM(F88:F94)</f>
        <v>2142.27594380119</v>
      </c>
      <c r="G87" s="437">
        <f t="shared" si="9"/>
        <v>0</v>
      </c>
    </row>
    <row r="88" ht="18" customHeight="1" spans="1:7">
      <c r="A88" s="378"/>
      <c r="B88" s="406" t="s">
        <v>304</v>
      </c>
      <c r="C88" s="479" t="s">
        <v>305</v>
      </c>
      <c r="D88" s="425">
        <v>1</v>
      </c>
      <c r="E88" s="425">
        <v>1000</v>
      </c>
      <c r="F88" s="426">
        <f t="shared" ref="F88:F94" si="11">D88*E88</f>
        <v>1000</v>
      </c>
      <c r="G88" s="437">
        <f t="shared" si="9"/>
        <v>1000</v>
      </c>
    </row>
    <row r="89" ht="18" customHeight="1" spans="1:7">
      <c r="A89" s="378"/>
      <c r="B89" s="11" t="s">
        <v>306</v>
      </c>
      <c r="C89" s="480" t="s">
        <v>307</v>
      </c>
      <c r="D89" s="425">
        <v>0.763337925</v>
      </c>
      <c r="E89" s="425">
        <f>单价汇总表!D92/100</f>
        <v>573.383274298207</v>
      </c>
      <c r="F89" s="426">
        <f t="shared" si="11"/>
        <v>437.685198832499</v>
      </c>
      <c r="G89" s="437">
        <f t="shared" si="9"/>
        <v>437.685198832499</v>
      </c>
    </row>
    <row r="90" ht="18" customHeight="1" spans="1:7">
      <c r="A90" s="378"/>
      <c r="B90" s="11" t="s">
        <v>308</v>
      </c>
      <c r="C90" s="480" t="s">
        <v>307</v>
      </c>
      <c r="D90" s="425">
        <v>0.1764</v>
      </c>
      <c r="E90" s="425">
        <f>单价汇总表!D75/100</f>
        <v>647.324646660022</v>
      </c>
      <c r="F90" s="426">
        <f t="shared" si="11"/>
        <v>114.188067670828</v>
      </c>
      <c r="G90" s="437">
        <f t="shared" si="9"/>
        <v>114.188067670828</v>
      </c>
    </row>
    <row r="91" ht="18" customHeight="1" spans="1:7">
      <c r="A91" s="378"/>
      <c r="B91" s="11" t="s">
        <v>309</v>
      </c>
      <c r="C91" s="480" t="s">
        <v>307</v>
      </c>
      <c r="D91" s="425">
        <v>0.1038555</v>
      </c>
      <c r="E91" s="425">
        <f>E90</f>
        <v>647.324646660022</v>
      </c>
      <c r="F91" s="426">
        <f t="shared" si="11"/>
        <v>67.2282248411999</v>
      </c>
      <c r="G91" s="437">
        <f t="shared" si="9"/>
        <v>67.2282248411999</v>
      </c>
    </row>
    <row r="92" ht="18" customHeight="1" spans="1:7">
      <c r="A92" s="378"/>
      <c r="B92" s="11" t="s">
        <v>310</v>
      </c>
      <c r="C92" s="7" t="s">
        <v>305</v>
      </c>
      <c r="D92" s="425">
        <f>D87</f>
        <v>1</v>
      </c>
      <c r="E92" s="425">
        <v>50</v>
      </c>
      <c r="F92" s="426">
        <f t="shared" si="11"/>
        <v>50</v>
      </c>
      <c r="G92" s="437">
        <f t="shared" si="9"/>
        <v>50</v>
      </c>
    </row>
    <row r="93" ht="18" customHeight="1" spans="1:7">
      <c r="A93" s="378"/>
      <c r="B93" s="11" t="s">
        <v>311</v>
      </c>
      <c r="C93" s="481" t="s">
        <v>307</v>
      </c>
      <c r="D93" s="425">
        <v>0.19732545</v>
      </c>
      <c r="E93" s="425">
        <f>单价汇总表!D138/100/0.03</f>
        <v>583.993706543077</v>
      </c>
      <c r="F93" s="426">
        <f t="shared" si="11"/>
        <v>115.236820940781</v>
      </c>
      <c r="G93" s="437">
        <f t="shared" si="9"/>
        <v>115.236820940781</v>
      </c>
    </row>
    <row r="94" ht="18" customHeight="1" spans="1:7">
      <c r="A94" s="378"/>
      <c r="B94" s="482" t="s">
        <v>312</v>
      </c>
      <c r="C94" s="483" t="s">
        <v>175</v>
      </c>
      <c r="D94" s="425">
        <v>19.2132675</v>
      </c>
      <c r="E94" s="425">
        <f>单价汇总表!D70/100</f>
        <v>18.6297115530134</v>
      </c>
      <c r="F94" s="426">
        <f t="shared" si="11"/>
        <v>357.937631515887</v>
      </c>
      <c r="G94" s="437">
        <f t="shared" si="9"/>
        <v>357.937631515887</v>
      </c>
    </row>
    <row r="95" ht="18" customHeight="1" spans="1:7">
      <c r="A95" s="468">
        <v>2</v>
      </c>
      <c r="B95" s="418" t="s">
        <v>324</v>
      </c>
      <c r="C95" s="468" t="s">
        <v>248</v>
      </c>
      <c r="D95" s="298"/>
      <c r="E95" s="425"/>
      <c r="F95" s="434">
        <f>F96</f>
        <v>1739518.81346755</v>
      </c>
      <c r="G95" s="437">
        <f t="shared" ref="G95:G150" si="12">D95*E95</f>
        <v>0</v>
      </c>
    </row>
    <row r="96" ht="18" customHeight="1" spans="1:7">
      <c r="A96" s="468">
        <v>2.1</v>
      </c>
      <c r="B96" s="418" t="s">
        <v>325</v>
      </c>
      <c r="C96" s="468"/>
      <c r="D96" s="298"/>
      <c r="E96" s="425"/>
      <c r="F96" s="426">
        <f>F97+F111+F127+F142+F148+F151</f>
        <v>1739518.81346755</v>
      </c>
      <c r="G96" s="437">
        <f t="shared" si="12"/>
        <v>0</v>
      </c>
    </row>
    <row r="97" ht="18" customHeight="1" spans="1:7">
      <c r="A97" s="123" t="s">
        <v>326</v>
      </c>
      <c r="B97" s="406" t="s">
        <v>327</v>
      </c>
      <c r="C97" s="468"/>
      <c r="D97" s="298"/>
      <c r="E97" s="425"/>
      <c r="F97" s="426">
        <f>F98+F102+F103+F106+F109</f>
        <v>789790.053</v>
      </c>
      <c r="G97" s="437">
        <f t="shared" si="12"/>
        <v>0</v>
      </c>
    </row>
    <row r="98" ht="18" customHeight="1" spans="1:7">
      <c r="A98" s="123" t="s">
        <v>329</v>
      </c>
      <c r="B98" s="406" t="s">
        <v>330</v>
      </c>
      <c r="C98" s="123" t="s">
        <v>248</v>
      </c>
      <c r="D98" s="298"/>
      <c r="E98" s="425"/>
      <c r="F98" s="426">
        <f>SUM(F99:F101)</f>
        <v>557330.68</v>
      </c>
      <c r="G98" s="437">
        <f t="shared" si="12"/>
        <v>0</v>
      </c>
    </row>
    <row r="99" ht="18" customHeight="1" spans="1:7">
      <c r="A99" s="123" t="s">
        <v>248</v>
      </c>
      <c r="B99" s="406" t="s">
        <v>331</v>
      </c>
      <c r="C99" s="123" t="s">
        <v>167</v>
      </c>
      <c r="D99" s="298">
        <v>4120</v>
      </c>
      <c r="E99" s="425">
        <f>管材!M16</f>
        <v>42.3</v>
      </c>
      <c r="F99" s="426">
        <f t="shared" ref="F99:F102" si="13">D99*E99</f>
        <v>174276</v>
      </c>
      <c r="G99" s="437">
        <f t="shared" si="12"/>
        <v>174276</v>
      </c>
    </row>
    <row r="100" ht="18" customHeight="1" spans="1:7">
      <c r="A100" s="123" t="s">
        <v>248</v>
      </c>
      <c r="B100" s="406" t="s">
        <v>332</v>
      </c>
      <c r="C100" s="123" t="s">
        <v>167</v>
      </c>
      <c r="D100" s="298">
        <v>9547</v>
      </c>
      <c r="E100" s="425">
        <f>管材!L16</f>
        <v>34.54</v>
      </c>
      <c r="F100" s="426">
        <f t="shared" si="13"/>
        <v>329753.38</v>
      </c>
      <c r="G100" s="437">
        <f t="shared" si="12"/>
        <v>329753.38</v>
      </c>
    </row>
    <row r="101" ht="18" customHeight="1" spans="1:7">
      <c r="A101" s="123"/>
      <c r="B101" s="406" t="s">
        <v>333</v>
      </c>
      <c r="C101" s="123" t="s">
        <v>167</v>
      </c>
      <c r="D101" s="298">
        <f>D99+D100</f>
        <v>13667</v>
      </c>
      <c r="E101" s="425">
        <v>3.9</v>
      </c>
      <c r="F101" s="426">
        <f t="shared" si="13"/>
        <v>53301.3</v>
      </c>
      <c r="G101" s="437">
        <f t="shared" si="12"/>
        <v>53301.3</v>
      </c>
    </row>
    <row r="102" ht="18" customHeight="1" spans="1:7">
      <c r="A102" s="123" t="s">
        <v>334</v>
      </c>
      <c r="B102" s="406" t="s">
        <v>335</v>
      </c>
      <c r="C102" s="484" t="s">
        <v>336</v>
      </c>
      <c r="D102" s="484">
        <v>0.1</v>
      </c>
      <c r="E102" s="425">
        <f>F99+F100</f>
        <v>504029.38</v>
      </c>
      <c r="F102" s="426">
        <f t="shared" si="13"/>
        <v>50402.938</v>
      </c>
      <c r="G102" s="437">
        <f t="shared" si="12"/>
        <v>50402.938</v>
      </c>
    </row>
    <row r="103" ht="18" customHeight="1" spans="1:7">
      <c r="A103" s="123" t="s">
        <v>337</v>
      </c>
      <c r="B103" s="406" t="s">
        <v>338</v>
      </c>
      <c r="C103" s="123" t="s">
        <v>248</v>
      </c>
      <c r="D103" s="298"/>
      <c r="E103" s="425"/>
      <c r="F103" s="426">
        <f>SUM(F104:F105)</f>
        <v>138205.56</v>
      </c>
      <c r="G103" s="437">
        <f t="shared" si="12"/>
        <v>0</v>
      </c>
    </row>
    <row r="104" ht="18" customHeight="1" spans="1:7">
      <c r="A104" s="123" t="s">
        <v>248</v>
      </c>
      <c r="B104" s="406" t="s">
        <v>339</v>
      </c>
      <c r="C104" s="123" t="s">
        <v>169</v>
      </c>
      <c r="D104" s="298">
        <v>20637</v>
      </c>
      <c r="E104" s="425">
        <v>3.98</v>
      </c>
      <c r="F104" s="426">
        <f t="shared" ref="F104:F108" si="14">D104*E104</f>
        <v>82135.26</v>
      </c>
      <c r="G104" s="437">
        <f t="shared" si="12"/>
        <v>82135.26</v>
      </c>
    </row>
    <row r="105" ht="18" customHeight="1" spans="1:7">
      <c r="A105" s="123" t="s">
        <v>248</v>
      </c>
      <c r="B105" s="406" t="s">
        <v>340</v>
      </c>
      <c r="C105" s="123" t="s">
        <v>169</v>
      </c>
      <c r="D105" s="298">
        <v>19605</v>
      </c>
      <c r="E105" s="425">
        <v>2.86</v>
      </c>
      <c r="F105" s="426">
        <f t="shared" si="14"/>
        <v>56070.3</v>
      </c>
      <c r="G105" s="437">
        <f t="shared" si="12"/>
        <v>56070.3</v>
      </c>
    </row>
    <row r="106" ht="18" customHeight="1" spans="1:7">
      <c r="A106" s="123" t="s">
        <v>342</v>
      </c>
      <c r="B106" s="406" t="s">
        <v>343</v>
      </c>
      <c r="C106" s="123"/>
      <c r="D106" s="298"/>
      <c r="E106" s="425"/>
      <c r="F106" s="426">
        <f>SUM(F107:F108)</f>
        <v>28800</v>
      </c>
      <c r="G106" s="437">
        <f t="shared" si="12"/>
        <v>0</v>
      </c>
    </row>
    <row r="107" ht="18" customHeight="1" spans="1:7">
      <c r="A107" s="123" t="s">
        <v>248</v>
      </c>
      <c r="B107" s="406" t="s">
        <v>344</v>
      </c>
      <c r="C107" s="123" t="s">
        <v>193</v>
      </c>
      <c r="D107" s="298">
        <v>18</v>
      </c>
      <c r="E107" s="425">
        <v>650</v>
      </c>
      <c r="F107" s="426">
        <f t="shared" si="14"/>
        <v>11700</v>
      </c>
      <c r="G107" s="437">
        <f t="shared" si="12"/>
        <v>11700</v>
      </c>
    </row>
    <row r="108" ht="18" customHeight="1" spans="1:7">
      <c r="A108" s="123" t="s">
        <v>248</v>
      </c>
      <c r="B108" s="406" t="s">
        <v>345</v>
      </c>
      <c r="C108" s="123" t="s">
        <v>305</v>
      </c>
      <c r="D108" s="298">
        <f>D107</f>
        <v>18</v>
      </c>
      <c r="E108" s="425">
        <v>950</v>
      </c>
      <c r="F108" s="426">
        <f t="shared" si="14"/>
        <v>17100</v>
      </c>
      <c r="G108" s="437">
        <f t="shared" si="12"/>
        <v>17100</v>
      </c>
    </row>
    <row r="109" ht="18" customHeight="1" spans="1:7">
      <c r="A109" s="485" t="s">
        <v>346</v>
      </c>
      <c r="B109" s="406" t="s">
        <v>347</v>
      </c>
      <c r="C109" s="123" t="s">
        <v>193</v>
      </c>
      <c r="D109" s="298">
        <v>1</v>
      </c>
      <c r="E109" s="425"/>
      <c r="F109" s="426">
        <f>F110</f>
        <v>15050.875</v>
      </c>
      <c r="G109" s="437">
        <f t="shared" si="12"/>
        <v>0</v>
      </c>
    </row>
    <row r="110" ht="18" customHeight="1" spans="1:7">
      <c r="A110" s="123" t="s">
        <v>248</v>
      </c>
      <c r="B110" s="406" t="s">
        <v>348</v>
      </c>
      <c r="C110" s="123" t="s">
        <v>167</v>
      </c>
      <c r="D110" s="298">
        <v>51.5</v>
      </c>
      <c r="E110" s="425">
        <f>管材!G44+200</f>
        <v>292.25</v>
      </c>
      <c r="F110" s="426">
        <f t="shared" ref="F110:F119" si="15">D110*E110</f>
        <v>15050.875</v>
      </c>
      <c r="G110" s="437">
        <f t="shared" si="12"/>
        <v>15050.875</v>
      </c>
    </row>
    <row r="111" ht="18" customHeight="1" spans="1:7">
      <c r="A111" s="123" t="s">
        <v>349</v>
      </c>
      <c r="B111" s="406" t="s">
        <v>350</v>
      </c>
      <c r="C111" s="123" t="s">
        <v>248</v>
      </c>
      <c r="D111" s="298"/>
      <c r="E111" s="425"/>
      <c r="F111" s="426">
        <f>F112+F119+F120+F123</f>
        <v>472877.376</v>
      </c>
      <c r="G111" s="437">
        <f t="shared" si="12"/>
        <v>0</v>
      </c>
    </row>
    <row r="112" ht="18" customHeight="1" spans="1:7">
      <c r="A112" s="123" t="s">
        <v>329</v>
      </c>
      <c r="B112" s="406" t="s">
        <v>330</v>
      </c>
      <c r="C112" s="123"/>
      <c r="D112" s="298"/>
      <c r="E112" s="425"/>
      <c r="F112" s="426">
        <f>SUM(F113:F118)</f>
        <v>315332.61</v>
      </c>
      <c r="G112" s="437">
        <f t="shared" si="12"/>
        <v>0</v>
      </c>
    </row>
    <row r="113" ht="18" customHeight="1" spans="1:7">
      <c r="A113" s="123"/>
      <c r="B113" s="406" t="s">
        <v>351</v>
      </c>
      <c r="C113" s="123" t="s">
        <v>167</v>
      </c>
      <c r="D113" s="298">
        <v>6922</v>
      </c>
      <c r="E113" s="425">
        <f>管材!L14</f>
        <v>21.31</v>
      </c>
      <c r="F113" s="426">
        <f t="shared" si="15"/>
        <v>147507.82</v>
      </c>
      <c r="G113" s="437">
        <f t="shared" si="12"/>
        <v>147507.82</v>
      </c>
    </row>
    <row r="114" ht="18" customHeight="1" spans="1:7">
      <c r="A114" s="123"/>
      <c r="B114" s="406" t="s">
        <v>352</v>
      </c>
      <c r="C114" s="123" t="s">
        <v>167</v>
      </c>
      <c r="D114" s="298">
        <v>6922</v>
      </c>
      <c r="E114" s="425">
        <f>管材!L12</f>
        <v>13.61</v>
      </c>
      <c r="F114" s="426">
        <f t="shared" si="15"/>
        <v>94208.42</v>
      </c>
      <c r="G114" s="437">
        <f t="shared" si="12"/>
        <v>94208.42</v>
      </c>
    </row>
    <row r="115" ht="18" customHeight="1" spans="1:7">
      <c r="A115" s="123"/>
      <c r="B115" s="406" t="s">
        <v>353</v>
      </c>
      <c r="C115" s="123" t="s">
        <v>167</v>
      </c>
      <c r="D115" s="298">
        <v>2307</v>
      </c>
      <c r="E115" s="425">
        <f>管材!L10</f>
        <v>6.89</v>
      </c>
      <c r="F115" s="426">
        <f t="shared" si="15"/>
        <v>15895.23</v>
      </c>
      <c r="G115" s="437">
        <f t="shared" si="12"/>
        <v>15895.23</v>
      </c>
    </row>
    <row r="116" ht="18" customHeight="1" spans="1:7">
      <c r="A116" s="123"/>
      <c r="B116" s="406" t="s">
        <v>354</v>
      </c>
      <c r="C116" s="123" t="s">
        <v>167</v>
      </c>
      <c r="D116" s="298">
        <v>29</v>
      </c>
      <c r="E116" s="425">
        <f>E113</f>
        <v>21.31</v>
      </c>
      <c r="F116" s="426">
        <f t="shared" si="15"/>
        <v>617.99</v>
      </c>
      <c r="G116" s="437">
        <f t="shared" si="12"/>
        <v>617.99</v>
      </c>
    </row>
    <row r="117" ht="18" customHeight="1" spans="1:7">
      <c r="A117" s="123"/>
      <c r="B117" s="406" t="s">
        <v>355</v>
      </c>
      <c r="C117" s="123" t="s">
        <v>167</v>
      </c>
      <c r="D117" s="298">
        <f>D114+D115</f>
        <v>9229</v>
      </c>
      <c r="E117" s="425">
        <v>3.25</v>
      </c>
      <c r="F117" s="426">
        <f t="shared" si="15"/>
        <v>29994.25</v>
      </c>
      <c r="G117" s="437">
        <f t="shared" si="12"/>
        <v>29994.25</v>
      </c>
    </row>
    <row r="118" ht="18" customHeight="1" spans="1:7">
      <c r="A118" s="123"/>
      <c r="B118" s="406" t="s">
        <v>356</v>
      </c>
      <c r="C118" s="123" t="s">
        <v>167</v>
      </c>
      <c r="D118" s="298">
        <f>D113+D116</f>
        <v>6951</v>
      </c>
      <c r="E118" s="425">
        <v>3.9</v>
      </c>
      <c r="F118" s="426">
        <f t="shared" si="15"/>
        <v>27108.9</v>
      </c>
      <c r="G118" s="437">
        <f t="shared" si="12"/>
        <v>27108.9</v>
      </c>
    </row>
    <row r="119" ht="18" customHeight="1" spans="1:7">
      <c r="A119" s="486">
        <v>-2</v>
      </c>
      <c r="B119" s="406" t="s">
        <v>357</v>
      </c>
      <c r="C119" s="484" t="s">
        <v>336</v>
      </c>
      <c r="D119" s="484">
        <v>0.1</v>
      </c>
      <c r="E119" s="425">
        <f>F113+F114+F115+F116</f>
        <v>258229.46</v>
      </c>
      <c r="F119" s="426">
        <f t="shared" si="15"/>
        <v>25822.946</v>
      </c>
      <c r="G119" s="437">
        <f t="shared" si="12"/>
        <v>25822.946</v>
      </c>
    </row>
    <row r="120" ht="18" customHeight="1" spans="1:7">
      <c r="A120" s="123" t="s">
        <v>337</v>
      </c>
      <c r="B120" s="406" t="s">
        <v>338</v>
      </c>
      <c r="C120" s="123" t="s">
        <v>248</v>
      </c>
      <c r="D120" s="298"/>
      <c r="E120" s="425"/>
      <c r="F120" s="426">
        <f>SUM(F121:F122)</f>
        <v>76561.82</v>
      </c>
      <c r="G120" s="437">
        <f t="shared" si="12"/>
        <v>0</v>
      </c>
    </row>
    <row r="121" ht="18" customHeight="1" spans="1:7">
      <c r="A121" s="123" t="s">
        <v>248</v>
      </c>
      <c r="B121" s="406" t="s">
        <v>339</v>
      </c>
      <c r="C121" s="123" t="s">
        <v>169</v>
      </c>
      <c r="D121" s="298">
        <v>11432</v>
      </c>
      <c r="E121" s="425">
        <v>3.98</v>
      </c>
      <c r="F121" s="426">
        <f t="shared" ref="F121:F126" si="16">D121*E121</f>
        <v>45499.36</v>
      </c>
      <c r="G121" s="437">
        <f t="shared" si="12"/>
        <v>45499.36</v>
      </c>
    </row>
    <row r="122" ht="18" customHeight="1" spans="1:7">
      <c r="A122" s="123" t="s">
        <v>248</v>
      </c>
      <c r="B122" s="406" t="s">
        <v>340</v>
      </c>
      <c r="C122" s="123" t="s">
        <v>169</v>
      </c>
      <c r="D122" s="298">
        <v>10861</v>
      </c>
      <c r="E122" s="425">
        <v>2.86</v>
      </c>
      <c r="F122" s="426">
        <f t="shared" si="16"/>
        <v>31062.46</v>
      </c>
      <c r="G122" s="437">
        <f t="shared" si="12"/>
        <v>31062.46</v>
      </c>
    </row>
    <row r="123" ht="18" customHeight="1" spans="1:7">
      <c r="A123" s="123" t="s">
        <v>342</v>
      </c>
      <c r="B123" s="406" t="s">
        <v>359</v>
      </c>
      <c r="C123" s="123"/>
      <c r="D123" s="484"/>
      <c r="E123" s="425"/>
      <c r="F123" s="426">
        <f>SUM(F124:F126)</f>
        <v>55160</v>
      </c>
      <c r="G123" s="437">
        <f t="shared" si="12"/>
        <v>0</v>
      </c>
    </row>
    <row r="124" ht="18" customHeight="1" spans="1:7">
      <c r="A124" s="123"/>
      <c r="B124" s="406" t="s">
        <v>360</v>
      </c>
      <c r="C124" s="123" t="s">
        <v>193</v>
      </c>
      <c r="D124" s="298">
        <v>14</v>
      </c>
      <c r="E124" s="425">
        <v>220</v>
      </c>
      <c r="F124" s="426">
        <f t="shared" si="16"/>
        <v>3080</v>
      </c>
      <c r="G124" s="437">
        <f t="shared" si="12"/>
        <v>3080</v>
      </c>
    </row>
    <row r="125" ht="18" customHeight="1" spans="1:7">
      <c r="A125" s="123" t="s">
        <v>248</v>
      </c>
      <c r="B125" s="406" t="s">
        <v>361</v>
      </c>
      <c r="C125" s="123" t="s">
        <v>193</v>
      </c>
      <c r="D125" s="298">
        <v>14</v>
      </c>
      <c r="E125" s="425">
        <f>E124</f>
        <v>220</v>
      </c>
      <c r="F125" s="426">
        <f t="shared" si="16"/>
        <v>3080</v>
      </c>
      <c r="G125" s="437">
        <f t="shared" si="12"/>
        <v>3080</v>
      </c>
    </row>
    <row r="126" ht="18" customHeight="1" spans="1:7">
      <c r="A126" s="123" t="s">
        <v>248</v>
      </c>
      <c r="B126" s="406" t="s">
        <v>362</v>
      </c>
      <c r="C126" s="123" t="s">
        <v>363</v>
      </c>
      <c r="D126" s="298">
        <v>14</v>
      </c>
      <c r="E126" s="425">
        <v>3500</v>
      </c>
      <c r="F126" s="426">
        <f t="shared" si="16"/>
        <v>49000</v>
      </c>
      <c r="G126" s="437">
        <f t="shared" si="12"/>
        <v>49000</v>
      </c>
    </row>
    <row r="127" ht="18" customHeight="1" spans="1:7">
      <c r="A127" s="485" t="s">
        <v>364</v>
      </c>
      <c r="B127" s="406" t="s">
        <v>365</v>
      </c>
      <c r="C127" s="123"/>
      <c r="D127" s="298"/>
      <c r="E127" s="425"/>
      <c r="F127" s="426">
        <f>F128+F131+F132+F135</f>
        <v>18613.7184675495</v>
      </c>
      <c r="G127" s="437">
        <f t="shared" si="12"/>
        <v>0</v>
      </c>
    </row>
    <row r="128" ht="18" customHeight="1" spans="1:7">
      <c r="A128" s="123" t="s">
        <v>329</v>
      </c>
      <c r="B128" s="406" t="s">
        <v>330</v>
      </c>
      <c r="C128" s="123"/>
      <c r="D128" s="298"/>
      <c r="E128" s="425"/>
      <c r="F128" s="426">
        <f>SUM(F129:F130)</f>
        <v>628.68</v>
      </c>
      <c r="G128" s="437">
        <f t="shared" si="12"/>
        <v>0</v>
      </c>
    </row>
    <row r="129" ht="18" customHeight="1" spans="1:7">
      <c r="A129" s="485"/>
      <c r="B129" s="487" t="s">
        <v>367</v>
      </c>
      <c r="C129" s="480" t="s">
        <v>167</v>
      </c>
      <c r="D129" s="298">
        <v>62</v>
      </c>
      <c r="E129" s="425">
        <f>管材!L10</f>
        <v>6.89</v>
      </c>
      <c r="F129" s="426">
        <f t="shared" ref="F129:F131" si="17">D129*E129</f>
        <v>427.18</v>
      </c>
      <c r="G129" s="437">
        <f t="shared" si="12"/>
        <v>427.18</v>
      </c>
    </row>
    <row r="130" ht="18" customHeight="1" spans="1:7">
      <c r="A130" s="485"/>
      <c r="B130" s="487" t="s">
        <v>368</v>
      </c>
      <c r="C130" s="480" t="s">
        <v>167</v>
      </c>
      <c r="D130" s="298">
        <f>D129</f>
        <v>62</v>
      </c>
      <c r="E130" s="425">
        <v>3.25</v>
      </c>
      <c r="F130" s="426">
        <f t="shared" si="17"/>
        <v>201.5</v>
      </c>
      <c r="G130" s="437">
        <f t="shared" si="12"/>
        <v>201.5</v>
      </c>
    </row>
    <row r="131" ht="18" customHeight="1" spans="1:7">
      <c r="A131" s="486">
        <v>-2</v>
      </c>
      <c r="B131" s="406" t="s">
        <v>369</v>
      </c>
      <c r="C131" s="484" t="s">
        <v>336</v>
      </c>
      <c r="D131" s="484">
        <v>0.1</v>
      </c>
      <c r="E131" s="425">
        <f>F129</f>
        <v>427.18</v>
      </c>
      <c r="F131" s="426">
        <f t="shared" si="17"/>
        <v>42.718</v>
      </c>
      <c r="G131" s="437">
        <f t="shared" si="12"/>
        <v>42.718</v>
      </c>
    </row>
    <row r="132" ht="18" customHeight="1" spans="1:7">
      <c r="A132" s="123" t="s">
        <v>337</v>
      </c>
      <c r="B132" s="406" t="s">
        <v>338</v>
      </c>
      <c r="C132" s="484"/>
      <c r="D132" s="484"/>
      <c r="E132" s="425"/>
      <c r="F132" s="426">
        <f>SUM(F133:F134)</f>
        <v>563.12</v>
      </c>
      <c r="G132" s="437">
        <f t="shared" si="12"/>
        <v>0</v>
      </c>
    </row>
    <row r="133" ht="18" customHeight="1" spans="1:7">
      <c r="A133" s="485"/>
      <c r="B133" s="406" t="s">
        <v>339</v>
      </c>
      <c r="C133" s="123" t="s">
        <v>169</v>
      </c>
      <c r="D133" s="298">
        <v>84</v>
      </c>
      <c r="E133" s="425">
        <f>E104</f>
        <v>3.98</v>
      </c>
      <c r="F133" s="426">
        <f t="shared" ref="F133:F141" si="18">D133*E133</f>
        <v>334.32</v>
      </c>
      <c r="G133" s="437">
        <f t="shared" si="12"/>
        <v>334.32</v>
      </c>
    </row>
    <row r="134" ht="18" customHeight="1" spans="1:7">
      <c r="A134" s="485"/>
      <c r="B134" s="406" t="s">
        <v>340</v>
      </c>
      <c r="C134" s="123" t="s">
        <v>169</v>
      </c>
      <c r="D134" s="298">
        <v>80</v>
      </c>
      <c r="E134" s="425">
        <f>E105</f>
        <v>2.86</v>
      </c>
      <c r="F134" s="426">
        <f t="shared" si="18"/>
        <v>228.8</v>
      </c>
      <c r="G134" s="437">
        <f t="shared" si="12"/>
        <v>228.8</v>
      </c>
    </row>
    <row r="135" ht="18" customHeight="1" spans="1:7">
      <c r="A135" s="486">
        <v>-4</v>
      </c>
      <c r="B135" s="406" t="s">
        <v>371</v>
      </c>
      <c r="C135" s="123" t="s">
        <v>193</v>
      </c>
      <c r="D135" s="298">
        <v>12</v>
      </c>
      <c r="E135" s="425"/>
      <c r="F135" s="426">
        <f>SUM(F136:F141)</f>
        <v>17379.2004675495</v>
      </c>
      <c r="G135" s="437">
        <f t="shared" si="12"/>
        <v>0</v>
      </c>
    </row>
    <row r="136" ht="18" customHeight="1" spans="1:7">
      <c r="A136" s="485" t="s">
        <v>248</v>
      </c>
      <c r="B136" s="406" t="s">
        <v>372</v>
      </c>
      <c r="C136" s="123" t="s">
        <v>305</v>
      </c>
      <c r="D136" s="298">
        <f>D135</f>
        <v>12</v>
      </c>
      <c r="E136" s="425">
        <v>1000</v>
      </c>
      <c r="F136" s="426">
        <f t="shared" si="18"/>
        <v>12000</v>
      </c>
      <c r="G136" s="437">
        <f t="shared" si="12"/>
        <v>12000</v>
      </c>
    </row>
    <row r="137" ht="18" customHeight="1" spans="1:7">
      <c r="A137" s="485" t="s">
        <v>248</v>
      </c>
      <c r="B137" s="406" t="s">
        <v>373</v>
      </c>
      <c r="C137" s="123" t="s">
        <v>307</v>
      </c>
      <c r="D137" s="298">
        <v>7.3</v>
      </c>
      <c r="E137" s="425">
        <f>单价汇总表!D90/100</f>
        <v>559.23015732759</v>
      </c>
      <c r="F137" s="426">
        <f t="shared" si="18"/>
        <v>4082.38014849141</v>
      </c>
      <c r="G137" s="437">
        <f t="shared" si="12"/>
        <v>4082.38014849141</v>
      </c>
    </row>
    <row r="138" ht="18" customHeight="1" spans="1:7">
      <c r="A138" s="123" t="s">
        <v>248</v>
      </c>
      <c r="B138" s="406" t="s">
        <v>374</v>
      </c>
      <c r="C138" s="123" t="s">
        <v>307</v>
      </c>
      <c r="D138" s="298">
        <v>0.7</v>
      </c>
      <c r="E138" s="425">
        <f>新定额单价!R660/100</f>
        <v>128.489047091908</v>
      </c>
      <c r="F138" s="426">
        <f t="shared" si="18"/>
        <v>89.9423329643356</v>
      </c>
      <c r="G138" s="437">
        <f t="shared" si="12"/>
        <v>89.9423329643356</v>
      </c>
    </row>
    <row r="139" ht="18" customHeight="1" spans="1:7">
      <c r="A139" s="123" t="s">
        <v>248</v>
      </c>
      <c r="B139" s="406" t="s">
        <v>375</v>
      </c>
      <c r="C139" s="123" t="s">
        <v>305</v>
      </c>
      <c r="D139" s="298">
        <f>D135</f>
        <v>12</v>
      </c>
      <c r="E139" s="425">
        <v>50</v>
      </c>
      <c r="F139" s="426">
        <f t="shared" si="18"/>
        <v>600</v>
      </c>
      <c r="G139" s="437">
        <f t="shared" si="12"/>
        <v>600</v>
      </c>
    </row>
    <row r="140" ht="18" customHeight="1" spans="1:7">
      <c r="A140" s="123" t="s">
        <v>248</v>
      </c>
      <c r="B140" s="406" t="s">
        <v>376</v>
      </c>
      <c r="C140" s="123" t="s">
        <v>307</v>
      </c>
      <c r="D140" s="298">
        <v>0.32</v>
      </c>
      <c r="E140" s="425">
        <f>单价汇总表!D138/100/0.03</f>
        <v>583.993706543077</v>
      </c>
      <c r="F140" s="426">
        <f t="shared" si="18"/>
        <v>186.877986093785</v>
      </c>
      <c r="G140" s="437">
        <f t="shared" si="12"/>
        <v>186.877986093785</v>
      </c>
    </row>
    <row r="141" ht="18" customHeight="1" spans="1:7">
      <c r="A141" s="123" t="s">
        <v>248</v>
      </c>
      <c r="B141" s="406" t="s">
        <v>377</v>
      </c>
      <c r="C141" s="123" t="s">
        <v>363</v>
      </c>
      <c r="D141" s="298">
        <f>D135</f>
        <v>12</v>
      </c>
      <c r="E141" s="425">
        <v>35</v>
      </c>
      <c r="F141" s="426">
        <f t="shared" si="18"/>
        <v>420</v>
      </c>
      <c r="G141" s="437">
        <f t="shared" si="12"/>
        <v>420</v>
      </c>
    </row>
    <row r="142" ht="18" customHeight="1" spans="1:7">
      <c r="A142" s="123" t="s">
        <v>378</v>
      </c>
      <c r="B142" s="406" t="s">
        <v>379</v>
      </c>
      <c r="C142" s="123" t="s">
        <v>248</v>
      </c>
      <c r="D142" s="298"/>
      <c r="E142" s="425"/>
      <c r="F142" s="426">
        <f>SUM(F143:F147)</f>
        <v>234920.066</v>
      </c>
      <c r="G142" s="437">
        <f t="shared" si="12"/>
        <v>0</v>
      </c>
    </row>
    <row r="143" ht="18" customHeight="1" spans="1:7">
      <c r="A143" s="123"/>
      <c r="B143" s="487" t="s">
        <v>380</v>
      </c>
      <c r="C143" s="480" t="s">
        <v>167</v>
      </c>
      <c r="D143" s="298">
        <v>17535</v>
      </c>
      <c r="E143" s="425">
        <f>管材!G37</f>
        <v>9.36</v>
      </c>
      <c r="F143" s="426">
        <f t="shared" ref="F143:F147" si="19">D143*E143</f>
        <v>164127.6</v>
      </c>
      <c r="G143" s="437">
        <f t="shared" si="12"/>
        <v>164127.6</v>
      </c>
    </row>
    <row r="144" ht="18" customHeight="1" spans="1:7">
      <c r="A144" s="123"/>
      <c r="B144" s="406" t="s">
        <v>381</v>
      </c>
      <c r="C144" s="123" t="s">
        <v>167</v>
      </c>
      <c r="D144" s="298">
        <v>3461</v>
      </c>
      <c r="E144" s="425">
        <f>管材!G33</f>
        <v>1.86</v>
      </c>
      <c r="F144" s="426">
        <f t="shared" si="19"/>
        <v>6437.46</v>
      </c>
      <c r="G144" s="437">
        <f t="shared" si="12"/>
        <v>6437.46</v>
      </c>
    </row>
    <row r="145" ht="18" customHeight="1" spans="1:7">
      <c r="A145" s="123"/>
      <c r="B145" s="406" t="s">
        <v>382</v>
      </c>
      <c r="C145" s="123" t="s">
        <v>167</v>
      </c>
      <c r="D145" s="298">
        <f>D143</f>
        <v>17535</v>
      </c>
      <c r="E145" s="425">
        <v>2.5</v>
      </c>
      <c r="F145" s="426">
        <f t="shared" si="19"/>
        <v>43837.5</v>
      </c>
      <c r="G145" s="437">
        <f t="shared" si="12"/>
        <v>43837.5</v>
      </c>
    </row>
    <row r="146" ht="18" customHeight="1" spans="1:7">
      <c r="A146" s="123" t="s">
        <v>248</v>
      </c>
      <c r="B146" s="406" t="s">
        <v>383</v>
      </c>
      <c r="C146" s="123" t="s">
        <v>167</v>
      </c>
      <c r="D146" s="298">
        <f>D144</f>
        <v>3461</v>
      </c>
      <c r="E146" s="425">
        <v>1</v>
      </c>
      <c r="F146" s="426">
        <f t="shared" si="19"/>
        <v>3461</v>
      </c>
      <c r="G146" s="437">
        <f t="shared" si="12"/>
        <v>3461</v>
      </c>
    </row>
    <row r="147" ht="18" customHeight="1" spans="1:7">
      <c r="A147" s="123"/>
      <c r="B147" s="406" t="s">
        <v>385</v>
      </c>
      <c r="C147" s="484" t="s">
        <v>336</v>
      </c>
      <c r="D147" s="484">
        <v>0.1</v>
      </c>
      <c r="E147" s="425">
        <f>F143+F144</f>
        <v>170565.06</v>
      </c>
      <c r="F147" s="426">
        <f t="shared" si="19"/>
        <v>17056.506</v>
      </c>
      <c r="G147" s="437">
        <f t="shared" si="12"/>
        <v>17056.506</v>
      </c>
    </row>
    <row r="148" ht="18" customHeight="1" spans="1:7">
      <c r="A148" s="123" t="s">
        <v>386</v>
      </c>
      <c r="B148" s="406" t="s">
        <v>387</v>
      </c>
      <c r="C148" s="123" t="s">
        <v>248</v>
      </c>
      <c r="D148" s="425"/>
      <c r="E148" s="425"/>
      <c r="F148" s="426">
        <f>SUM(F149:F150)</f>
        <v>223317.6</v>
      </c>
      <c r="G148" s="437">
        <f t="shared" si="12"/>
        <v>0</v>
      </c>
    </row>
    <row r="149" ht="18" customHeight="1" spans="1:7">
      <c r="A149" s="123" t="s">
        <v>248</v>
      </c>
      <c r="B149" s="406" t="s">
        <v>388</v>
      </c>
      <c r="C149" s="123" t="s">
        <v>363</v>
      </c>
      <c r="D149" s="425">
        <v>2307</v>
      </c>
      <c r="E149" s="425">
        <v>88</v>
      </c>
      <c r="F149" s="426">
        <f t="shared" ref="F149:F152" si="20">D149*E149</f>
        <v>203016</v>
      </c>
      <c r="G149" s="437">
        <f t="shared" si="12"/>
        <v>203016</v>
      </c>
    </row>
    <row r="150" ht="18" customHeight="1" spans="1:7">
      <c r="A150" s="123" t="s">
        <v>248</v>
      </c>
      <c r="B150" s="406" t="s">
        <v>390</v>
      </c>
      <c r="C150" s="123" t="s">
        <v>363</v>
      </c>
      <c r="D150" s="425">
        <f>D149</f>
        <v>2307</v>
      </c>
      <c r="E150" s="425">
        <f>E149*0.1</f>
        <v>8.8</v>
      </c>
      <c r="F150" s="426">
        <f t="shared" si="20"/>
        <v>20301.6</v>
      </c>
      <c r="G150" s="437">
        <f t="shared" si="12"/>
        <v>20301.6</v>
      </c>
    </row>
    <row r="151" ht="18" customHeight="1" spans="1:7">
      <c r="A151" s="123"/>
      <c r="B151" s="406"/>
      <c r="C151" s="123"/>
      <c r="D151" s="425"/>
      <c r="E151" s="425"/>
      <c r="F151" s="426"/>
      <c r="G151" s="437"/>
    </row>
    <row r="152" ht="18" customHeight="1" spans="1:7">
      <c r="A152" s="123"/>
      <c r="B152" s="406"/>
      <c r="C152" s="123"/>
      <c r="D152" s="425"/>
      <c r="E152" s="425"/>
      <c r="F152" s="426"/>
      <c r="G152" s="437"/>
    </row>
    <row r="153" ht="18" customHeight="1" spans="1:7">
      <c r="A153" s="123"/>
      <c r="B153" s="406"/>
      <c r="C153" s="123"/>
      <c r="D153" s="425"/>
      <c r="E153" s="425"/>
      <c r="F153" s="426"/>
      <c r="G153" s="437"/>
    </row>
    <row r="154" ht="18" customHeight="1" spans="1:7">
      <c r="A154" s="123"/>
      <c r="B154" s="406"/>
      <c r="C154" s="123"/>
      <c r="D154" s="425"/>
      <c r="E154" s="425"/>
      <c r="F154" s="426"/>
      <c r="G154" s="437"/>
    </row>
    <row r="155" ht="18" customHeight="1" spans="1:7">
      <c r="A155" s="7"/>
      <c r="B155" s="438"/>
      <c r="C155" s="123"/>
      <c r="D155" s="488"/>
      <c r="E155" s="488"/>
      <c r="F155" s="426"/>
      <c r="G155" s="437"/>
    </row>
    <row r="156" ht="18" customHeight="1" spans="1:7">
      <c r="A156" s="489" t="s">
        <v>418</v>
      </c>
      <c r="B156" s="489"/>
      <c r="C156" s="489"/>
      <c r="D156" s="489"/>
      <c r="E156" s="489"/>
      <c r="F156" s="489"/>
      <c r="G156" s="226"/>
    </row>
    <row r="157" ht="18" customHeight="1" spans="1:7">
      <c r="A157" s="228"/>
      <c r="B157" s="227"/>
      <c r="C157" s="228"/>
      <c r="D157" s="228"/>
      <c r="E157" s="228" t="s">
        <v>419</v>
      </c>
      <c r="F157" s="228"/>
      <c r="G157" s="229"/>
    </row>
    <row r="158" ht="18" customHeight="1" spans="1:7">
      <c r="A158" s="7" t="s">
        <v>104</v>
      </c>
      <c r="B158" s="7" t="s">
        <v>420</v>
      </c>
      <c r="C158" s="7" t="s">
        <v>159</v>
      </c>
      <c r="D158" s="7" t="s">
        <v>421</v>
      </c>
      <c r="E158" s="7" t="s">
        <v>422</v>
      </c>
      <c r="F158" s="7" t="s">
        <v>18</v>
      </c>
      <c r="G158" s="229"/>
    </row>
    <row r="159" ht="18" customHeight="1" spans="1:7">
      <c r="A159" s="7"/>
      <c r="B159" s="11" t="s">
        <v>87</v>
      </c>
      <c r="C159" s="7"/>
      <c r="D159" s="7"/>
      <c r="E159" s="7"/>
      <c r="F159" s="90">
        <f>F160+F166+F168+F169+F172</f>
        <v>287897.444867118</v>
      </c>
      <c r="G159" s="490"/>
    </row>
    <row r="160" ht="18" customHeight="1" spans="1:7">
      <c r="A160" s="7" t="s">
        <v>34</v>
      </c>
      <c r="B160" s="11" t="s">
        <v>423</v>
      </c>
      <c r="C160" s="7"/>
      <c r="D160" s="7"/>
      <c r="E160" s="7"/>
      <c r="F160" s="90">
        <f>F161+F163</f>
        <v>159007.180279218</v>
      </c>
      <c r="G160" s="490"/>
    </row>
    <row r="161" ht="18" customHeight="1" spans="1:7">
      <c r="A161" s="7">
        <v>1</v>
      </c>
      <c r="B161" s="11" t="s">
        <v>424</v>
      </c>
      <c r="C161" s="7" t="s">
        <v>167</v>
      </c>
      <c r="D161" s="449">
        <v>0</v>
      </c>
      <c r="E161" s="69"/>
      <c r="F161" s="90">
        <f>F162</f>
        <v>0</v>
      </c>
      <c r="G161" s="490"/>
    </row>
    <row r="162" ht="18" customHeight="1" spans="1:7">
      <c r="A162" s="7"/>
      <c r="B162" s="487" t="s">
        <v>170</v>
      </c>
      <c r="C162" s="123" t="s">
        <v>169</v>
      </c>
      <c r="D162" s="449">
        <v>0</v>
      </c>
      <c r="E162" s="69">
        <f>单价汇总表!D34/100</f>
        <v>6.17193111109444</v>
      </c>
      <c r="F162" s="90">
        <f t="shared" ref="F162:F165" si="21">D162*E162</f>
        <v>0</v>
      </c>
      <c r="G162" s="490"/>
    </row>
    <row r="163" ht="18" customHeight="1" spans="1:7">
      <c r="A163" s="123">
        <v>2</v>
      </c>
      <c r="B163" s="491" t="s">
        <v>425</v>
      </c>
      <c r="C163" s="7"/>
      <c r="D163" s="449"/>
      <c r="E163" s="69"/>
      <c r="F163" s="90">
        <f>F164+F165</f>
        <v>159007.180279218</v>
      </c>
      <c r="G163" s="490"/>
    </row>
    <row r="164" ht="18" customHeight="1" spans="1:7">
      <c r="A164" s="123"/>
      <c r="B164" s="491" t="s">
        <v>426</v>
      </c>
      <c r="C164" s="7" t="s">
        <v>167</v>
      </c>
      <c r="D164" s="492">
        <v>90</v>
      </c>
      <c r="E164" s="69">
        <v>220</v>
      </c>
      <c r="F164" s="90">
        <f t="shared" si="21"/>
        <v>19800</v>
      </c>
      <c r="G164" s="490"/>
    </row>
    <row r="165" ht="18" customHeight="1" spans="1:7">
      <c r="A165" s="107"/>
      <c r="B165" s="491" t="s">
        <v>427</v>
      </c>
      <c r="C165" s="7" t="s">
        <v>428</v>
      </c>
      <c r="D165" s="492">
        <v>7776</v>
      </c>
      <c r="E165" s="69">
        <f>台时!E294</f>
        <v>17.9021579577184</v>
      </c>
      <c r="F165" s="90">
        <f t="shared" si="21"/>
        <v>139207.180279218</v>
      </c>
      <c r="G165" s="490"/>
    </row>
    <row r="166" ht="18" customHeight="1" spans="1:7">
      <c r="A166" s="7" t="s">
        <v>46</v>
      </c>
      <c r="B166" s="493" t="s">
        <v>429</v>
      </c>
      <c r="C166" s="494"/>
      <c r="D166" s="495"/>
      <c r="E166" s="38"/>
      <c r="F166" s="90">
        <f>F167</f>
        <v>24000</v>
      </c>
      <c r="G166" s="490"/>
    </row>
    <row r="167" ht="18" customHeight="1" spans="1:7">
      <c r="A167" s="7"/>
      <c r="B167" s="493" t="s">
        <v>430</v>
      </c>
      <c r="C167" s="494" t="s">
        <v>229</v>
      </c>
      <c r="D167" s="496">
        <v>0.8</v>
      </c>
      <c r="E167" s="38">
        <v>30000</v>
      </c>
      <c r="F167" s="90">
        <f t="shared" ref="F167:F170" si="22">D167*E167</f>
        <v>24000</v>
      </c>
      <c r="G167" s="490"/>
    </row>
    <row r="168" ht="18" customHeight="1" spans="1:7">
      <c r="A168" s="7" t="s">
        <v>83</v>
      </c>
      <c r="B168" s="493" t="s">
        <v>431</v>
      </c>
      <c r="C168" s="494" t="s">
        <v>229</v>
      </c>
      <c r="D168" s="118">
        <v>0</v>
      </c>
      <c r="E168" s="38">
        <v>60000</v>
      </c>
      <c r="F168" s="90">
        <f t="shared" si="22"/>
        <v>0</v>
      </c>
      <c r="G168" s="490"/>
    </row>
    <row r="169" ht="18" customHeight="1" spans="1:7">
      <c r="A169" s="7" t="s">
        <v>121</v>
      </c>
      <c r="B169" s="493" t="s">
        <v>432</v>
      </c>
      <c r="C169" s="494"/>
      <c r="D169" s="90"/>
      <c r="E169" s="38"/>
      <c r="F169" s="90">
        <f>F170+F171</f>
        <v>72264.4711161595</v>
      </c>
      <c r="G169" s="490"/>
    </row>
    <row r="170" ht="18" customHeight="1" spans="1:7">
      <c r="A170" s="7">
        <v>1</v>
      </c>
      <c r="B170" s="493" t="s">
        <v>433</v>
      </c>
      <c r="C170" s="7" t="s">
        <v>175</v>
      </c>
      <c r="D170" s="90">
        <v>200</v>
      </c>
      <c r="E170" s="38">
        <v>200</v>
      </c>
      <c r="F170" s="90">
        <f t="shared" si="22"/>
        <v>40000</v>
      </c>
      <c r="G170" s="490"/>
    </row>
    <row r="171" ht="18" customHeight="1" spans="1:7">
      <c r="A171" s="7">
        <v>2</v>
      </c>
      <c r="B171" s="493" t="s">
        <v>434</v>
      </c>
      <c r="C171" s="494">
        <v>0.005</v>
      </c>
      <c r="D171" s="90">
        <f>'总（姚伏）'!C14*10000+F160+F166+F168</f>
        <v>6452894.2232319</v>
      </c>
      <c r="E171" s="38"/>
      <c r="F171" s="90">
        <f>C171*D171</f>
        <v>32264.4711161595</v>
      </c>
      <c r="G171" s="490"/>
    </row>
    <row r="172" ht="18" customHeight="1" spans="1:7">
      <c r="A172" s="7" t="s">
        <v>135</v>
      </c>
      <c r="B172" s="11" t="s">
        <v>435</v>
      </c>
      <c r="C172" s="494"/>
      <c r="D172" s="90"/>
      <c r="E172" s="38"/>
      <c r="F172" s="90">
        <f>F173</f>
        <v>32625.7934717403</v>
      </c>
      <c r="G172" s="490"/>
    </row>
    <row r="173" ht="18" customHeight="1" spans="1:7">
      <c r="A173" s="7">
        <v>1</v>
      </c>
      <c r="B173" s="11" t="s">
        <v>435</v>
      </c>
      <c r="C173" s="494">
        <v>0.005</v>
      </c>
      <c r="D173" s="90">
        <f>D171+F169</f>
        <v>6525158.69434806</v>
      </c>
      <c r="E173" s="38"/>
      <c r="F173" s="90">
        <f>C173*D173</f>
        <v>32625.7934717403</v>
      </c>
      <c r="G173" s="490"/>
    </row>
    <row r="174" ht="18" customHeight="1" spans="1:7">
      <c r="A174" s="7"/>
      <c r="B174" s="11"/>
      <c r="C174" s="494"/>
      <c r="D174" s="90"/>
      <c r="E174" s="38"/>
      <c r="F174" s="90"/>
      <c r="G174" s="490"/>
    </row>
    <row r="175" ht="18" customHeight="1" spans="1:7">
      <c r="A175" s="7"/>
      <c r="B175" s="11"/>
      <c r="C175" s="494"/>
      <c r="D175" s="90"/>
      <c r="E175" s="38"/>
      <c r="F175" s="90"/>
      <c r="G175" s="490"/>
    </row>
    <row r="176" ht="18" customHeight="1" spans="1:7">
      <c r="A176" s="7"/>
      <c r="B176" s="11"/>
      <c r="C176" s="494"/>
      <c r="D176" s="90"/>
      <c r="E176" s="38"/>
      <c r="F176" s="90"/>
      <c r="G176" s="490"/>
    </row>
    <row r="177" ht="18" customHeight="1" spans="1:7">
      <c r="A177" s="7"/>
      <c r="B177" s="11"/>
      <c r="C177" s="53"/>
      <c r="D177" s="90"/>
      <c r="E177" s="7"/>
      <c r="F177" s="90"/>
      <c r="G177" s="490"/>
    </row>
    <row r="178" ht="18" customHeight="1" spans="1:7">
      <c r="A178" s="489" t="s">
        <v>436</v>
      </c>
      <c r="B178" s="489"/>
      <c r="C178" s="489"/>
      <c r="D178" s="489"/>
      <c r="E178" s="489"/>
      <c r="F178" s="489"/>
      <c r="G178" s="226"/>
    </row>
    <row r="179" ht="18" customHeight="1" spans="1:7">
      <c r="A179" s="228"/>
      <c r="B179" s="228"/>
      <c r="C179" s="96"/>
      <c r="D179" s="96"/>
      <c r="E179" s="302"/>
      <c r="F179" s="498" t="s">
        <v>71</v>
      </c>
      <c r="G179" s="498"/>
    </row>
    <row r="180" ht="18" customHeight="1" spans="1:7">
      <c r="A180" s="7" t="s">
        <v>104</v>
      </c>
      <c r="B180" s="7" t="s">
        <v>437</v>
      </c>
      <c r="C180" s="7" t="s">
        <v>159</v>
      </c>
      <c r="D180" s="7" t="s">
        <v>160</v>
      </c>
      <c r="E180" s="34" t="s">
        <v>422</v>
      </c>
      <c r="F180" s="499" t="s">
        <v>156</v>
      </c>
      <c r="G180" s="498"/>
    </row>
    <row r="181" ht="18" customHeight="1" spans="1:7">
      <c r="A181" s="7" t="s">
        <v>34</v>
      </c>
      <c r="B181" s="11" t="s">
        <v>123</v>
      </c>
      <c r="C181" s="7" t="s">
        <v>438</v>
      </c>
      <c r="D181" s="7"/>
      <c r="E181" s="34"/>
      <c r="F181" s="34">
        <f>独立费用!D28</f>
        <v>29.8572696742024</v>
      </c>
      <c r="G181" s="500"/>
    </row>
    <row r="182" ht="18" customHeight="1" spans="1:7">
      <c r="A182" s="7" t="s">
        <v>439</v>
      </c>
      <c r="B182" s="11" t="s">
        <v>440</v>
      </c>
      <c r="C182" s="7" t="s">
        <v>438</v>
      </c>
      <c r="D182" s="53"/>
      <c r="E182" s="34"/>
      <c r="F182" s="34">
        <f>监理费用!E33</f>
        <v>16.3688729325715</v>
      </c>
      <c r="G182" s="500"/>
    </row>
    <row r="183" ht="18" customHeight="1" spans="1:7">
      <c r="A183" s="7" t="s">
        <v>83</v>
      </c>
      <c r="B183" s="11" t="s">
        <v>441</v>
      </c>
      <c r="C183" s="7" t="s">
        <v>438</v>
      </c>
      <c r="D183" s="7"/>
      <c r="E183" s="34"/>
      <c r="F183" s="34">
        <f>SUM(F184:F185)</f>
        <v>34.2228916667129</v>
      </c>
      <c r="G183" s="500"/>
    </row>
    <row r="184" ht="18" customHeight="1" spans="1:7">
      <c r="A184" s="7">
        <v>1</v>
      </c>
      <c r="B184" s="11" t="s">
        <v>35</v>
      </c>
      <c r="C184" s="7" t="s">
        <v>438</v>
      </c>
      <c r="D184" s="53"/>
      <c r="E184" s="34"/>
      <c r="F184" s="34">
        <f>设计费!D98+设计费!I74</f>
        <v>18.4171319171001</v>
      </c>
      <c r="G184" s="500"/>
    </row>
    <row r="185" ht="18" customHeight="1" spans="1:7">
      <c r="A185" s="7">
        <v>2</v>
      </c>
      <c r="B185" s="11" t="s">
        <v>442</v>
      </c>
      <c r="C185" s="7" t="s">
        <v>438</v>
      </c>
      <c r="D185" s="53"/>
      <c r="E185" s="34"/>
      <c r="F185" s="34">
        <f>设计费!D137</f>
        <v>15.8057597496128</v>
      </c>
      <c r="G185" s="500"/>
    </row>
    <row r="186" ht="18" customHeight="1" spans="1:7">
      <c r="A186" s="7" t="s">
        <v>121</v>
      </c>
      <c r="B186" s="11" t="s">
        <v>126</v>
      </c>
      <c r="C186" s="7" t="s">
        <v>438</v>
      </c>
      <c r="D186" s="7"/>
      <c r="E186" s="34"/>
      <c r="F186" s="34">
        <f>SUM(F187:F188)</f>
        <v>19.6733534634594</v>
      </c>
      <c r="G186" s="500"/>
    </row>
    <row r="187" ht="18" customHeight="1" spans="1:7">
      <c r="A187" s="7">
        <v>1</v>
      </c>
      <c r="B187" s="11" t="s">
        <v>127</v>
      </c>
      <c r="C187" s="7" t="s">
        <v>438</v>
      </c>
      <c r="D187" s="53">
        <v>0.025</v>
      </c>
      <c r="E187" s="34">
        <f>'总（姚伏）'!C16</f>
        <v>655.77844878198</v>
      </c>
      <c r="F187" s="34">
        <f>D187*E187</f>
        <v>16.3944612195495</v>
      </c>
      <c r="G187" s="500"/>
    </row>
    <row r="188" ht="18" customHeight="1" spans="1:7">
      <c r="A188" s="7">
        <v>2</v>
      </c>
      <c r="B188" s="11" t="s">
        <v>128</v>
      </c>
      <c r="C188" s="7" t="s">
        <v>438</v>
      </c>
      <c r="D188" s="53">
        <v>0.005</v>
      </c>
      <c r="E188" s="34">
        <f>E187</f>
        <v>655.77844878198</v>
      </c>
      <c r="F188" s="34">
        <f>D188*E188</f>
        <v>3.2788922439099</v>
      </c>
      <c r="G188" s="500"/>
    </row>
    <row r="189" ht="18" customHeight="1" spans="1:7">
      <c r="A189" s="7"/>
      <c r="B189" s="11" t="s">
        <v>156</v>
      </c>
      <c r="C189" s="7"/>
      <c r="D189" s="7"/>
      <c r="E189" s="34"/>
      <c r="F189" s="34">
        <f>F181+F182+F183+F186</f>
        <v>100.122387736946</v>
      </c>
      <c r="G189" s="500"/>
    </row>
    <row r="190" ht="18" customHeight="1"/>
    <row r="191" ht="18" customHeight="1"/>
    <row r="192" ht="18" customHeight="1"/>
  </sheetData>
  <mergeCells count="5">
    <mergeCell ref="A156:F156"/>
    <mergeCell ref="E157:F157"/>
    <mergeCell ref="A178:F178"/>
    <mergeCell ref="A179:B179"/>
    <mergeCell ref="A1:F3"/>
  </mergeCells>
  <pageMargins left="0.75" right="0.75" top="1" bottom="1" header="0.5" footer="0.5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L94"/>
  <sheetViews>
    <sheetView zoomScale="110" zoomScaleNormal="110" topLeftCell="A4" workbookViewId="0">
      <selection activeCell="H68" sqref="H68"/>
    </sheetView>
  </sheetViews>
  <sheetFormatPr defaultColWidth="9" defaultRowHeight="14.25"/>
  <cols>
    <col min="1" max="1" width="6.375" style="387" customWidth="1"/>
    <col min="2" max="2" width="27.5" style="323" customWidth="1"/>
    <col min="3" max="3" width="27" style="323" customWidth="1"/>
    <col min="4" max="4" width="6.875" style="229" customWidth="1"/>
    <col min="5" max="5" width="7" style="229" customWidth="1"/>
    <col min="6" max="6" width="7.875" style="229" customWidth="1"/>
    <col min="7" max="7" width="10.125" style="216" customWidth="1"/>
    <col min="8" max="8" width="12.625" style="216"/>
    <col min="9" max="9" width="11.75" style="216" customWidth="1"/>
    <col min="10" max="10" width="12.625"/>
    <col min="11" max="11" width="8.625" customWidth="1"/>
  </cols>
  <sheetData>
    <row r="1" spans="1:9">
      <c r="A1" s="388" t="s">
        <v>597</v>
      </c>
      <c r="B1" s="389"/>
      <c r="C1" s="389"/>
      <c r="D1" s="388"/>
      <c r="E1" s="388"/>
      <c r="F1" s="388"/>
      <c r="G1" s="388"/>
      <c r="H1" s="388"/>
      <c r="I1" s="388"/>
    </row>
    <row r="2" spans="1:9">
      <c r="A2" s="94"/>
      <c r="B2" s="390"/>
      <c r="C2" s="390"/>
      <c r="D2" s="94"/>
      <c r="E2" s="94"/>
      <c r="F2" s="94"/>
      <c r="G2" s="94"/>
      <c r="H2" s="388"/>
      <c r="I2" s="388"/>
    </row>
    <row r="3" spans="1:9">
      <c r="A3" s="7" t="s">
        <v>1</v>
      </c>
      <c r="B3" s="7" t="s">
        <v>444</v>
      </c>
      <c r="C3" s="7" t="s">
        <v>445</v>
      </c>
      <c r="D3" s="7" t="s">
        <v>159</v>
      </c>
      <c r="E3" s="7" t="s">
        <v>160</v>
      </c>
      <c r="F3" s="7" t="s">
        <v>446</v>
      </c>
      <c r="G3" s="7"/>
      <c r="H3" s="7" t="s">
        <v>447</v>
      </c>
      <c r="I3" s="7"/>
    </row>
    <row r="4" spans="1:9">
      <c r="A4" s="7"/>
      <c r="B4" s="7"/>
      <c r="C4" s="7"/>
      <c r="D4" s="7"/>
      <c r="E4" s="7"/>
      <c r="F4" s="7" t="s">
        <v>448</v>
      </c>
      <c r="G4" s="7" t="s">
        <v>449</v>
      </c>
      <c r="H4" s="7" t="s">
        <v>448</v>
      </c>
      <c r="I4" s="7" t="s">
        <v>449</v>
      </c>
    </row>
    <row r="5" spans="1:12">
      <c r="A5" s="5"/>
      <c r="B5" s="391" t="s">
        <v>80</v>
      </c>
      <c r="C5" s="391"/>
      <c r="D5" s="392"/>
      <c r="E5" s="393"/>
      <c r="F5" s="5"/>
      <c r="G5" s="394"/>
      <c r="H5" s="395">
        <f>H6+H28+H51</f>
        <v>25091.72416</v>
      </c>
      <c r="I5" s="395">
        <f>I6+I28+I51</f>
        <v>242663.865011584</v>
      </c>
      <c r="J5" s="416">
        <f>SUM(J9:J82)</f>
        <v>25091.72416</v>
      </c>
      <c r="K5" s="416">
        <f>SUM(K9:K82)</f>
        <v>242663.865011584</v>
      </c>
      <c r="L5" s="62"/>
    </row>
    <row r="6" spans="1:12">
      <c r="A6" s="396" t="s">
        <v>34</v>
      </c>
      <c r="B6" s="397" t="s">
        <v>81</v>
      </c>
      <c r="C6" s="397" t="s">
        <v>248</v>
      </c>
      <c r="D6" s="396"/>
      <c r="E6" s="396"/>
      <c r="F6" s="5"/>
      <c r="G6" s="395"/>
      <c r="H6" s="395">
        <f>H7</f>
        <v>9003.5</v>
      </c>
      <c r="I6" s="395">
        <f>I7</f>
        <v>97658.30615</v>
      </c>
      <c r="J6" s="417"/>
      <c r="K6" s="417"/>
      <c r="L6" s="417"/>
    </row>
    <row r="7" spans="1:12">
      <c r="A7" s="398">
        <v>1</v>
      </c>
      <c r="B7" s="399" t="s">
        <v>247</v>
      </c>
      <c r="C7" s="400"/>
      <c r="D7" s="398"/>
      <c r="E7" s="398"/>
      <c r="F7" s="5"/>
      <c r="G7" s="394"/>
      <c r="H7" s="394">
        <f>SUM(H9:H27)</f>
        <v>9003.5</v>
      </c>
      <c r="I7" s="394">
        <f>SUM(I9:I27)</f>
        <v>97658.30615</v>
      </c>
      <c r="J7" s="62"/>
      <c r="K7" s="62"/>
      <c r="L7" s="62"/>
    </row>
    <row r="8" spans="1:12">
      <c r="A8" s="398"/>
      <c r="B8" s="399" t="s">
        <v>450</v>
      </c>
      <c r="C8" s="400"/>
      <c r="D8" s="398"/>
      <c r="E8" s="398"/>
      <c r="F8" s="5"/>
      <c r="G8" s="394"/>
      <c r="H8" s="394"/>
      <c r="I8" s="394"/>
      <c r="J8" s="62"/>
      <c r="K8" s="62"/>
      <c r="L8" s="62"/>
    </row>
    <row r="9" spans="1:12">
      <c r="A9" s="398"/>
      <c r="B9" s="401" t="s">
        <v>451</v>
      </c>
      <c r="C9" s="530" t="s">
        <v>452</v>
      </c>
      <c r="D9" s="531" t="s">
        <v>453</v>
      </c>
      <c r="E9" s="532">
        <v>1</v>
      </c>
      <c r="F9" s="90">
        <f t="shared" ref="F9:F24" si="0">G9*0.1</f>
        <v>292.5</v>
      </c>
      <c r="G9" s="394">
        <f>0.065*45000</f>
        <v>2925</v>
      </c>
      <c r="H9" s="394">
        <f t="shared" ref="H9:H24" si="1">E9*F9</f>
        <v>292.5</v>
      </c>
      <c r="I9" s="394">
        <f t="shared" ref="I9:I24" si="2">E9*G9</f>
        <v>2925</v>
      </c>
      <c r="J9" s="416">
        <f t="shared" ref="J9:J37" si="3">E9*F9</f>
        <v>292.5</v>
      </c>
      <c r="K9" s="62">
        <f t="shared" ref="K9:K26" si="4">E9*G9</f>
        <v>2925</v>
      </c>
      <c r="L9" s="62"/>
    </row>
    <row r="10" spans="1:12">
      <c r="A10" s="398"/>
      <c r="B10" s="402" t="s">
        <v>454</v>
      </c>
      <c r="C10" s="403" t="s">
        <v>455</v>
      </c>
      <c r="D10" s="404" t="s">
        <v>453</v>
      </c>
      <c r="E10" s="404">
        <v>1</v>
      </c>
      <c r="F10" s="90">
        <f t="shared" si="0"/>
        <v>60</v>
      </c>
      <c r="G10" s="394">
        <v>600</v>
      </c>
      <c r="H10" s="394">
        <f t="shared" si="1"/>
        <v>60</v>
      </c>
      <c r="I10" s="394">
        <f t="shared" si="2"/>
        <v>600</v>
      </c>
      <c r="J10" s="416">
        <f t="shared" si="3"/>
        <v>60</v>
      </c>
      <c r="K10" s="62">
        <f t="shared" si="4"/>
        <v>600</v>
      </c>
      <c r="L10" s="62"/>
    </row>
    <row r="11" spans="1:12">
      <c r="A11" s="398"/>
      <c r="B11" s="402" t="s">
        <v>456</v>
      </c>
      <c r="C11" s="403" t="s">
        <v>457</v>
      </c>
      <c r="D11" s="404" t="s">
        <v>453</v>
      </c>
      <c r="E11" s="404">
        <v>1</v>
      </c>
      <c r="F11" s="90">
        <f t="shared" si="0"/>
        <v>690</v>
      </c>
      <c r="G11" s="394">
        <v>6900</v>
      </c>
      <c r="H11" s="394">
        <f t="shared" si="1"/>
        <v>690</v>
      </c>
      <c r="I11" s="394">
        <f t="shared" si="2"/>
        <v>6900</v>
      </c>
      <c r="J11" s="416">
        <f t="shared" si="3"/>
        <v>690</v>
      </c>
      <c r="K11" s="62">
        <f t="shared" si="4"/>
        <v>6900</v>
      </c>
      <c r="L11" s="62"/>
    </row>
    <row r="12" spans="1:12">
      <c r="A12" s="398"/>
      <c r="B12" s="402" t="s">
        <v>458</v>
      </c>
      <c r="C12" s="403" t="s">
        <v>455</v>
      </c>
      <c r="D12" s="404" t="s">
        <v>453</v>
      </c>
      <c r="E12" s="404">
        <v>1</v>
      </c>
      <c r="F12" s="90">
        <f t="shared" si="0"/>
        <v>60</v>
      </c>
      <c r="G12" s="394">
        <v>600</v>
      </c>
      <c r="H12" s="394">
        <f t="shared" si="1"/>
        <v>60</v>
      </c>
      <c r="I12" s="394">
        <f t="shared" si="2"/>
        <v>600</v>
      </c>
      <c r="J12" s="416">
        <f t="shared" si="3"/>
        <v>60</v>
      </c>
      <c r="K12" s="62">
        <f t="shared" si="4"/>
        <v>600</v>
      </c>
      <c r="L12" s="62"/>
    </row>
    <row r="13" spans="1:12">
      <c r="A13" s="398"/>
      <c r="B13" s="402" t="s">
        <v>459</v>
      </c>
      <c r="C13" s="403" t="s">
        <v>457</v>
      </c>
      <c r="D13" s="404" t="s">
        <v>453</v>
      </c>
      <c r="E13" s="404">
        <v>1</v>
      </c>
      <c r="F13" s="90">
        <f t="shared" si="0"/>
        <v>690</v>
      </c>
      <c r="G13" s="394">
        <v>6900</v>
      </c>
      <c r="H13" s="394">
        <f t="shared" si="1"/>
        <v>690</v>
      </c>
      <c r="I13" s="394">
        <f t="shared" si="2"/>
        <v>6900</v>
      </c>
      <c r="J13" s="416">
        <f t="shared" si="3"/>
        <v>690</v>
      </c>
      <c r="K13" s="62">
        <f t="shared" si="4"/>
        <v>6900</v>
      </c>
      <c r="L13" s="62"/>
    </row>
    <row r="14" spans="1:12">
      <c r="A14" s="398"/>
      <c r="B14" s="533" t="s">
        <v>460</v>
      </c>
      <c r="C14" s="533" t="s">
        <v>461</v>
      </c>
      <c r="D14" s="7" t="s">
        <v>305</v>
      </c>
      <c r="E14" s="123">
        <v>1</v>
      </c>
      <c r="F14" s="90">
        <f t="shared" si="0"/>
        <v>1600</v>
      </c>
      <c r="G14" s="394">
        <f>80*200</f>
        <v>16000</v>
      </c>
      <c r="H14" s="394">
        <f t="shared" si="1"/>
        <v>1600</v>
      </c>
      <c r="I14" s="394">
        <f t="shared" si="2"/>
        <v>16000</v>
      </c>
      <c r="J14" s="416">
        <f t="shared" si="3"/>
        <v>1600</v>
      </c>
      <c r="K14" s="62">
        <f t="shared" si="4"/>
        <v>16000</v>
      </c>
      <c r="L14" s="62"/>
    </row>
    <row r="15" spans="1:12">
      <c r="A15" s="398"/>
      <c r="B15" s="402" t="s">
        <v>462</v>
      </c>
      <c r="C15" s="403" t="s">
        <v>463</v>
      </c>
      <c r="D15" s="404" t="s">
        <v>453</v>
      </c>
      <c r="E15" s="404">
        <v>1</v>
      </c>
      <c r="F15" s="90">
        <f t="shared" si="0"/>
        <v>290</v>
      </c>
      <c r="G15" s="394">
        <v>2900</v>
      </c>
      <c r="H15" s="394">
        <f t="shared" si="1"/>
        <v>290</v>
      </c>
      <c r="I15" s="394">
        <f t="shared" si="2"/>
        <v>2900</v>
      </c>
      <c r="J15" s="416">
        <f t="shared" si="3"/>
        <v>290</v>
      </c>
      <c r="K15" s="62">
        <f t="shared" si="4"/>
        <v>2900</v>
      </c>
      <c r="L15" s="62"/>
    </row>
    <row r="16" spans="1:12">
      <c r="A16" s="398"/>
      <c r="B16" s="402" t="s">
        <v>464</v>
      </c>
      <c r="C16" s="403" t="s">
        <v>465</v>
      </c>
      <c r="D16" s="404" t="s">
        <v>453</v>
      </c>
      <c r="E16" s="404">
        <v>1</v>
      </c>
      <c r="F16" s="90">
        <f t="shared" si="0"/>
        <v>60</v>
      </c>
      <c r="G16" s="394">
        <v>600</v>
      </c>
      <c r="H16" s="394">
        <f t="shared" si="1"/>
        <v>60</v>
      </c>
      <c r="I16" s="394">
        <f t="shared" si="2"/>
        <v>600</v>
      </c>
      <c r="J16" s="416">
        <f t="shared" si="3"/>
        <v>60</v>
      </c>
      <c r="K16" s="62">
        <f t="shared" si="4"/>
        <v>600</v>
      </c>
      <c r="L16" s="62"/>
    </row>
    <row r="17" spans="1:12">
      <c r="A17" s="398"/>
      <c r="B17" s="402" t="s">
        <v>466</v>
      </c>
      <c r="C17" s="403" t="s">
        <v>467</v>
      </c>
      <c r="D17" s="404" t="s">
        <v>453</v>
      </c>
      <c r="E17" s="404">
        <v>1</v>
      </c>
      <c r="F17" s="90">
        <f t="shared" si="0"/>
        <v>105</v>
      </c>
      <c r="G17" s="394">
        <v>1050</v>
      </c>
      <c r="H17" s="394">
        <f t="shared" si="1"/>
        <v>105</v>
      </c>
      <c r="I17" s="394">
        <f t="shared" si="2"/>
        <v>1050</v>
      </c>
      <c r="J17" s="416">
        <f t="shared" si="3"/>
        <v>105</v>
      </c>
      <c r="K17" s="62">
        <f t="shared" si="4"/>
        <v>1050</v>
      </c>
      <c r="L17" s="62"/>
    </row>
    <row r="18" spans="1:12">
      <c r="A18" s="398"/>
      <c r="B18" s="402" t="s">
        <v>468</v>
      </c>
      <c r="C18" s="403" t="s">
        <v>469</v>
      </c>
      <c r="D18" s="404" t="s">
        <v>305</v>
      </c>
      <c r="E18" s="404">
        <v>1</v>
      </c>
      <c r="F18" s="90">
        <f t="shared" si="0"/>
        <v>162</v>
      </c>
      <c r="G18" s="394">
        <v>1620</v>
      </c>
      <c r="H18" s="394">
        <f t="shared" si="1"/>
        <v>162</v>
      </c>
      <c r="I18" s="394">
        <f t="shared" si="2"/>
        <v>1620</v>
      </c>
      <c r="J18" s="416">
        <f t="shared" si="3"/>
        <v>162</v>
      </c>
      <c r="K18" s="62">
        <f t="shared" si="4"/>
        <v>1620</v>
      </c>
      <c r="L18" s="62"/>
    </row>
    <row r="19" spans="1:12">
      <c r="A19" s="398"/>
      <c r="B19" s="402" t="s">
        <v>470</v>
      </c>
      <c r="C19" s="403" t="s">
        <v>463</v>
      </c>
      <c r="D19" s="404" t="s">
        <v>453</v>
      </c>
      <c r="E19" s="404">
        <v>1</v>
      </c>
      <c r="F19" s="90">
        <f t="shared" si="0"/>
        <v>650</v>
      </c>
      <c r="G19" s="394">
        <v>6500</v>
      </c>
      <c r="H19" s="394">
        <f t="shared" si="1"/>
        <v>650</v>
      </c>
      <c r="I19" s="394">
        <f t="shared" si="2"/>
        <v>6500</v>
      </c>
      <c r="J19" s="416">
        <f t="shared" si="3"/>
        <v>650</v>
      </c>
      <c r="K19" s="62">
        <f t="shared" si="4"/>
        <v>6500</v>
      </c>
      <c r="L19" s="62"/>
    </row>
    <row r="20" spans="1:12">
      <c r="A20" s="398"/>
      <c r="B20" s="402" t="s">
        <v>464</v>
      </c>
      <c r="C20" s="403" t="s">
        <v>471</v>
      </c>
      <c r="D20" s="404" t="s">
        <v>453</v>
      </c>
      <c r="E20" s="404">
        <v>1</v>
      </c>
      <c r="F20" s="90">
        <f t="shared" si="0"/>
        <v>60</v>
      </c>
      <c r="G20" s="394">
        <v>600</v>
      </c>
      <c r="H20" s="394">
        <f t="shared" si="1"/>
        <v>60</v>
      </c>
      <c r="I20" s="394">
        <f t="shared" si="2"/>
        <v>600</v>
      </c>
      <c r="J20" s="416">
        <f t="shared" si="3"/>
        <v>60</v>
      </c>
      <c r="K20" s="62">
        <f t="shared" si="4"/>
        <v>600</v>
      </c>
      <c r="L20" s="62"/>
    </row>
    <row r="21" spans="1:12">
      <c r="A21" s="398"/>
      <c r="B21" s="402" t="s">
        <v>472</v>
      </c>
      <c r="C21" s="403" t="s">
        <v>473</v>
      </c>
      <c r="D21" s="404" t="s">
        <v>453</v>
      </c>
      <c r="E21" s="404">
        <v>1</v>
      </c>
      <c r="F21" s="90">
        <f t="shared" si="0"/>
        <v>1500</v>
      </c>
      <c r="G21" s="394">
        <v>15000</v>
      </c>
      <c r="H21" s="394">
        <f t="shared" si="1"/>
        <v>1500</v>
      </c>
      <c r="I21" s="394">
        <f t="shared" si="2"/>
        <v>15000</v>
      </c>
      <c r="J21" s="416">
        <f t="shared" si="3"/>
        <v>1500</v>
      </c>
      <c r="K21" s="62">
        <f t="shared" si="4"/>
        <v>15000</v>
      </c>
      <c r="L21" s="62"/>
    </row>
    <row r="22" ht="24" spans="1:12">
      <c r="A22" s="398"/>
      <c r="B22" s="402" t="s">
        <v>474</v>
      </c>
      <c r="C22" s="403" t="s">
        <v>475</v>
      </c>
      <c r="D22" s="404" t="s">
        <v>453</v>
      </c>
      <c r="E22" s="404">
        <v>2</v>
      </c>
      <c r="F22" s="90">
        <f t="shared" si="0"/>
        <v>1050</v>
      </c>
      <c r="G22" s="394">
        <f>8500+2000</f>
        <v>10500</v>
      </c>
      <c r="H22" s="394">
        <f t="shared" si="1"/>
        <v>2100</v>
      </c>
      <c r="I22" s="394">
        <f t="shared" si="2"/>
        <v>21000</v>
      </c>
      <c r="J22" s="416">
        <f t="shared" si="3"/>
        <v>2100</v>
      </c>
      <c r="K22" s="62">
        <f t="shared" si="4"/>
        <v>21000</v>
      </c>
      <c r="L22" s="62"/>
    </row>
    <row r="23" spans="1:12">
      <c r="A23" s="398"/>
      <c r="B23" s="402" t="s">
        <v>476</v>
      </c>
      <c r="C23" s="403" t="s">
        <v>477</v>
      </c>
      <c r="D23" s="404" t="s">
        <v>453</v>
      </c>
      <c r="E23" s="404">
        <v>2</v>
      </c>
      <c r="F23" s="90">
        <f t="shared" si="0"/>
        <v>256</v>
      </c>
      <c r="G23" s="394">
        <v>2560</v>
      </c>
      <c r="H23" s="394">
        <f t="shared" si="1"/>
        <v>512</v>
      </c>
      <c r="I23" s="394">
        <f t="shared" si="2"/>
        <v>5120</v>
      </c>
      <c r="J23" s="416">
        <f t="shared" si="3"/>
        <v>512</v>
      </c>
      <c r="K23" s="62">
        <f t="shared" si="4"/>
        <v>5120</v>
      </c>
      <c r="L23" s="62"/>
    </row>
    <row r="24" spans="1:12">
      <c r="A24" s="398"/>
      <c r="B24" s="405" t="s">
        <v>478</v>
      </c>
      <c r="C24" s="403" t="s">
        <v>479</v>
      </c>
      <c r="D24" s="404" t="s">
        <v>453</v>
      </c>
      <c r="E24" s="404">
        <v>2</v>
      </c>
      <c r="F24" s="90">
        <f t="shared" si="0"/>
        <v>86</v>
      </c>
      <c r="G24" s="394">
        <v>860</v>
      </c>
      <c r="H24" s="394">
        <f t="shared" si="1"/>
        <v>172</v>
      </c>
      <c r="I24" s="394">
        <f t="shared" si="2"/>
        <v>1720</v>
      </c>
      <c r="J24" s="416">
        <f t="shared" si="3"/>
        <v>172</v>
      </c>
      <c r="K24" s="62">
        <f t="shared" si="4"/>
        <v>1720</v>
      </c>
      <c r="L24" s="62"/>
    </row>
    <row r="25" spans="1:12">
      <c r="A25" s="123"/>
      <c r="B25" s="406" t="s">
        <v>495</v>
      </c>
      <c r="C25" s="406"/>
      <c r="D25" s="123"/>
      <c r="E25" s="123"/>
      <c r="F25" s="90"/>
      <c r="G25" s="394"/>
      <c r="H25" s="394"/>
      <c r="I25" s="394"/>
      <c r="J25" s="416">
        <f t="shared" si="3"/>
        <v>0</v>
      </c>
      <c r="K25" s="62">
        <f t="shared" si="4"/>
        <v>0</v>
      </c>
      <c r="L25" s="62"/>
    </row>
    <row r="26" spans="1:12">
      <c r="A26" s="123"/>
      <c r="B26" s="407" t="s">
        <v>598</v>
      </c>
      <c r="C26" s="11" t="s">
        <v>497</v>
      </c>
      <c r="D26" s="7" t="s">
        <v>453</v>
      </c>
      <c r="E26" s="123">
        <f>12/3</f>
        <v>4</v>
      </c>
      <c r="F26" s="90"/>
      <c r="G26" s="394">
        <v>150</v>
      </c>
      <c r="H26" s="394"/>
      <c r="I26" s="394">
        <f>E26*G26</f>
        <v>600</v>
      </c>
      <c r="J26" s="416">
        <f t="shared" si="3"/>
        <v>0</v>
      </c>
      <c r="K26" s="62">
        <f t="shared" si="4"/>
        <v>600</v>
      </c>
      <c r="L26" s="62"/>
    </row>
    <row r="27" spans="1:12">
      <c r="A27" s="123"/>
      <c r="B27" s="408" t="s">
        <v>498</v>
      </c>
      <c r="C27" s="406"/>
      <c r="D27" s="123"/>
      <c r="E27" s="123"/>
      <c r="F27" s="5"/>
      <c r="G27" s="394"/>
      <c r="H27" s="394"/>
      <c r="I27" s="394">
        <f>SUM(I9:I26)*0.07749</f>
        <v>7023.30615</v>
      </c>
      <c r="J27" s="416">
        <f t="shared" si="3"/>
        <v>0</v>
      </c>
      <c r="K27" s="62">
        <f>I27</f>
        <v>7023.30615</v>
      </c>
      <c r="L27" s="62"/>
    </row>
    <row r="28" spans="1:12">
      <c r="A28" s="5" t="s">
        <v>46</v>
      </c>
      <c r="B28" s="391" t="s">
        <v>82</v>
      </c>
      <c r="C28" s="391"/>
      <c r="D28" s="392"/>
      <c r="E28" s="5"/>
      <c r="F28" s="5"/>
      <c r="G28" s="394"/>
      <c r="H28" s="395">
        <f>H29</f>
        <v>7564.62416</v>
      </c>
      <c r="I28" s="395">
        <f>I29</f>
        <v>82585.558861584</v>
      </c>
      <c r="J28" s="416">
        <f t="shared" si="3"/>
        <v>0</v>
      </c>
      <c r="K28" s="62">
        <f t="shared" ref="K28:K35" si="5">E28*G28</f>
        <v>0</v>
      </c>
      <c r="L28" s="62"/>
    </row>
    <row r="29" spans="1:12">
      <c r="A29" s="123">
        <v>1</v>
      </c>
      <c r="B29" s="399" t="s">
        <v>247</v>
      </c>
      <c r="C29" s="406"/>
      <c r="D29" s="123"/>
      <c r="E29" s="123"/>
      <c r="F29" s="123"/>
      <c r="G29" s="123"/>
      <c r="H29" s="409">
        <f>H30</f>
        <v>7564.62416</v>
      </c>
      <c r="I29" s="409">
        <f>I30</f>
        <v>82585.558861584</v>
      </c>
      <c r="J29" s="416">
        <f t="shared" si="3"/>
        <v>0</v>
      </c>
      <c r="K29" s="62">
        <f t="shared" si="5"/>
        <v>0</v>
      </c>
      <c r="L29" s="62"/>
    </row>
    <row r="30" spans="1:12">
      <c r="A30" s="123">
        <v>1.1</v>
      </c>
      <c r="B30" s="406" t="s">
        <v>499</v>
      </c>
      <c r="C30" s="406"/>
      <c r="D30" s="123"/>
      <c r="E30" s="123"/>
      <c r="F30" s="123"/>
      <c r="G30" s="123"/>
      <c r="H30" s="409">
        <f>SUM(H31:H50)</f>
        <v>7564.62416</v>
      </c>
      <c r="I30" s="409">
        <f>SUM(I31:I50)</f>
        <v>82585.558861584</v>
      </c>
      <c r="J30" s="416">
        <f t="shared" si="3"/>
        <v>0</v>
      </c>
      <c r="K30" s="62">
        <f t="shared" si="5"/>
        <v>0</v>
      </c>
      <c r="L30" s="62"/>
    </row>
    <row r="31" spans="1:12">
      <c r="A31" s="123"/>
      <c r="B31" s="11" t="s">
        <v>500</v>
      </c>
      <c r="C31" s="11" t="s">
        <v>501</v>
      </c>
      <c r="D31" s="7" t="s">
        <v>453</v>
      </c>
      <c r="E31" s="7">
        <v>1</v>
      </c>
      <c r="F31" s="123">
        <f>G31*0.1</f>
        <v>1330</v>
      </c>
      <c r="G31" s="123">
        <v>13300</v>
      </c>
      <c r="H31" s="409">
        <f>E31*F31</f>
        <v>1330</v>
      </c>
      <c r="I31" s="409">
        <f>E31*G31</f>
        <v>13300</v>
      </c>
      <c r="J31" s="416">
        <f t="shared" si="3"/>
        <v>1330</v>
      </c>
      <c r="K31" s="62">
        <f t="shared" si="5"/>
        <v>13300</v>
      </c>
      <c r="L31" s="62"/>
    </row>
    <row r="32" spans="1:12">
      <c r="A32" s="123"/>
      <c r="B32" s="11" t="s">
        <v>502</v>
      </c>
      <c r="C32" s="11" t="s">
        <v>503</v>
      </c>
      <c r="D32" s="7" t="s">
        <v>504</v>
      </c>
      <c r="E32" s="7">
        <v>1</v>
      </c>
      <c r="F32" s="123">
        <f>G32*0.1</f>
        <v>1500</v>
      </c>
      <c r="G32" s="123">
        <v>15000</v>
      </c>
      <c r="H32" s="409">
        <f>E32*F32</f>
        <v>1500</v>
      </c>
      <c r="I32" s="409">
        <f>E32*G32</f>
        <v>15000</v>
      </c>
      <c r="J32" s="416">
        <f t="shared" si="3"/>
        <v>1500</v>
      </c>
      <c r="K32" s="62">
        <f t="shared" si="5"/>
        <v>15000</v>
      </c>
      <c r="L32" s="62"/>
    </row>
    <row r="33" spans="1:12">
      <c r="A33" s="123"/>
      <c r="B33" s="11" t="s">
        <v>505</v>
      </c>
      <c r="C33" s="11" t="s">
        <v>506</v>
      </c>
      <c r="D33" s="7" t="s">
        <v>453</v>
      </c>
      <c r="E33" s="7">
        <v>1</v>
      </c>
      <c r="F33" s="123">
        <f>G33*0.1</f>
        <v>865</v>
      </c>
      <c r="G33" s="123">
        <f>0.173*50000</f>
        <v>8650</v>
      </c>
      <c r="H33" s="409">
        <f>E33*F33</f>
        <v>865</v>
      </c>
      <c r="I33" s="409">
        <f>E33*G33</f>
        <v>8650</v>
      </c>
      <c r="J33" s="416">
        <f t="shared" si="3"/>
        <v>865</v>
      </c>
      <c r="K33" s="62">
        <f t="shared" si="5"/>
        <v>8650</v>
      </c>
      <c r="L33" s="62"/>
    </row>
    <row r="34" spans="1:12">
      <c r="A34" s="123"/>
      <c r="B34" s="11" t="s">
        <v>599</v>
      </c>
      <c r="C34" s="11" t="s">
        <v>508</v>
      </c>
      <c r="D34" s="7" t="s">
        <v>504</v>
      </c>
      <c r="E34" s="7">
        <v>1</v>
      </c>
      <c r="F34" s="123">
        <f>G34*0.1</f>
        <v>1290</v>
      </c>
      <c r="G34" s="123">
        <f>30*430</f>
        <v>12900</v>
      </c>
      <c r="H34" s="409">
        <f>E34*F34</f>
        <v>1290</v>
      </c>
      <c r="I34" s="409">
        <f>E34*G34</f>
        <v>12900</v>
      </c>
      <c r="J34" s="416">
        <f t="shared" si="3"/>
        <v>1290</v>
      </c>
      <c r="K34" s="62">
        <f t="shared" si="5"/>
        <v>12900</v>
      </c>
      <c r="L34" s="62"/>
    </row>
    <row r="35" spans="1:12">
      <c r="A35" s="123"/>
      <c r="B35" s="366" t="s">
        <v>600</v>
      </c>
      <c r="C35" s="366" t="s">
        <v>601</v>
      </c>
      <c r="D35" s="384" t="s">
        <v>453</v>
      </c>
      <c r="E35" s="384">
        <v>1</v>
      </c>
      <c r="F35" s="123">
        <f>G35*0.1</f>
        <v>300</v>
      </c>
      <c r="G35" s="123">
        <v>3000</v>
      </c>
      <c r="H35" s="409">
        <f>E35*F35</f>
        <v>300</v>
      </c>
      <c r="I35" s="409">
        <f>E35*G35</f>
        <v>3000</v>
      </c>
      <c r="J35" s="416">
        <f t="shared" si="3"/>
        <v>300</v>
      </c>
      <c r="K35" s="62">
        <f t="shared" si="5"/>
        <v>3000</v>
      </c>
      <c r="L35" s="62"/>
    </row>
    <row r="36" spans="1:12">
      <c r="A36" s="123"/>
      <c r="B36" s="11" t="s">
        <v>509</v>
      </c>
      <c r="C36" s="11" t="s">
        <v>510</v>
      </c>
      <c r="D36" s="7" t="s">
        <v>511</v>
      </c>
      <c r="E36" s="7">
        <v>40</v>
      </c>
      <c r="F36" s="298">
        <f t="shared" ref="F36:F48" si="6">G36*0.1</f>
        <v>11.233104</v>
      </c>
      <c r="G36" s="298">
        <f>64.41*1.09*1.6</f>
        <v>112.33104</v>
      </c>
      <c r="H36" s="409">
        <f t="shared" ref="H36:H48" si="7">E36*F36</f>
        <v>449.32416</v>
      </c>
      <c r="I36" s="409">
        <f t="shared" ref="I36:I49" si="8">E36*G36</f>
        <v>4493.2416</v>
      </c>
      <c r="J36" s="416">
        <f t="shared" si="3"/>
        <v>449.32416</v>
      </c>
      <c r="K36" s="62">
        <f t="shared" ref="K36:K49" si="9">E36*G36</f>
        <v>4493.2416</v>
      </c>
      <c r="L36" s="62"/>
    </row>
    <row r="37" spans="1:12">
      <c r="A37" s="123"/>
      <c r="B37" s="11" t="s">
        <v>509</v>
      </c>
      <c r="C37" s="11" t="s">
        <v>512</v>
      </c>
      <c r="D37" s="7" t="s">
        <v>511</v>
      </c>
      <c r="E37" s="7">
        <v>30</v>
      </c>
      <c r="F37" s="298">
        <f t="shared" si="6"/>
        <v>5.359312</v>
      </c>
      <c r="G37" s="298">
        <f>30.73*1.09*1.6</f>
        <v>53.59312</v>
      </c>
      <c r="H37" s="409">
        <f t="shared" si="7"/>
        <v>160.77936</v>
      </c>
      <c r="I37" s="409">
        <f t="shared" si="8"/>
        <v>1607.7936</v>
      </c>
      <c r="J37" s="416">
        <f t="shared" si="3"/>
        <v>160.77936</v>
      </c>
      <c r="K37" s="62">
        <f t="shared" si="9"/>
        <v>1607.7936</v>
      </c>
      <c r="L37" s="62"/>
    </row>
    <row r="38" spans="1:12">
      <c r="A38" s="123"/>
      <c r="B38" s="11" t="s">
        <v>509</v>
      </c>
      <c r="C38" s="11" t="s">
        <v>513</v>
      </c>
      <c r="D38" s="7" t="s">
        <v>511</v>
      </c>
      <c r="E38" s="7">
        <v>60</v>
      </c>
      <c r="F38" s="298">
        <f t="shared" si="6"/>
        <v>2.225344</v>
      </c>
      <c r="G38" s="298">
        <f>12.76*1.09*1.6</f>
        <v>22.25344</v>
      </c>
      <c r="H38" s="409">
        <f t="shared" si="7"/>
        <v>133.52064</v>
      </c>
      <c r="I38" s="409">
        <f t="shared" si="8"/>
        <v>1335.2064</v>
      </c>
      <c r="J38" s="416">
        <f t="shared" ref="J38:J48" si="10">E38*F38</f>
        <v>133.52064</v>
      </c>
      <c r="K38" s="62">
        <f t="shared" si="9"/>
        <v>1335.2064</v>
      </c>
      <c r="L38" s="62"/>
    </row>
    <row r="39" spans="1:12">
      <c r="A39" s="123"/>
      <c r="B39" s="11" t="s">
        <v>514</v>
      </c>
      <c r="C39" s="11" t="s">
        <v>515</v>
      </c>
      <c r="D39" s="7" t="s">
        <v>511</v>
      </c>
      <c r="E39" s="7">
        <v>150</v>
      </c>
      <c r="F39" s="298">
        <f t="shared" si="6"/>
        <v>0.26</v>
      </c>
      <c r="G39" s="298">
        <v>2.6</v>
      </c>
      <c r="H39" s="409">
        <f t="shared" si="7"/>
        <v>39</v>
      </c>
      <c r="I39" s="409">
        <f t="shared" si="8"/>
        <v>390</v>
      </c>
      <c r="J39" s="416">
        <f t="shared" si="10"/>
        <v>39</v>
      </c>
      <c r="K39" s="62">
        <f t="shared" si="9"/>
        <v>390</v>
      </c>
      <c r="L39" s="62"/>
    </row>
    <row r="40" spans="1:12">
      <c r="A40" s="123"/>
      <c r="B40" s="11" t="s">
        <v>514</v>
      </c>
      <c r="C40" s="11" t="s">
        <v>516</v>
      </c>
      <c r="D40" s="7" t="s">
        <v>511</v>
      </c>
      <c r="E40" s="7">
        <v>50</v>
      </c>
      <c r="F40" s="298">
        <f t="shared" si="6"/>
        <v>0.42</v>
      </c>
      <c r="G40" s="298">
        <v>4.2</v>
      </c>
      <c r="H40" s="409">
        <f t="shared" si="7"/>
        <v>21</v>
      </c>
      <c r="I40" s="409">
        <f t="shared" si="8"/>
        <v>210</v>
      </c>
      <c r="J40" s="416">
        <f t="shared" si="10"/>
        <v>21</v>
      </c>
      <c r="K40" s="62">
        <f t="shared" si="9"/>
        <v>210</v>
      </c>
      <c r="L40" s="62"/>
    </row>
    <row r="41" spans="1:12">
      <c r="A41" s="123"/>
      <c r="B41" s="11" t="s">
        <v>517</v>
      </c>
      <c r="C41" s="11"/>
      <c r="D41" s="7" t="s">
        <v>518</v>
      </c>
      <c r="E41" s="7">
        <v>15</v>
      </c>
      <c r="F41" s="298">
        <f t="shared" si="6"/>
        <v>5</v>
      </c>
      <c r="G41" s="298">
        <v>50</v>
      </c>
      <c r="H41" s="409">
        <f t="shared" si="7"/>
        <v>75</v>
      </c>
      <c r="I41" s="409">
        <f t="shared" si="8"/>
        <v>750</v>
      </c>
      <c r="J41" s="416">
        <f t="shared" si="10"/>
        <v>75</v>
      </c>
      <c r="K41" s="62">
        <f t="shared" si="9"/>
        <v>750</v>
      </c>
      <c r="L41" s="62"/>
    </row>
    <row r="42" spans="1:12">
      <c r="A42" s="123"/>
      <c r="B42" s="11" t="s">
        <v>519</v>
      </c>
      <c r="C42" s="11" t="s">
        <v>520</v>
      </c>
      <c r="D42" s="7" t="s">
        <v>511</v>
      </c>
      <c r="E42" s="7">
        <v>150</v>
      </c>
      <c r="F42" s="298">
        <f t="shared" si="6"/>
        <v>1.5</v>
      </c>
      <c r="G42" s="298">
        <v>15</v>
      </c>
      <c r="H42" s="409">
        <f t="shared" si="7"/>
        <v>225</v>
      </c>
      <c r="I42" s="409">
        <f t="shared" si="8"/>
        <v>2250</v>
      </c>
      <c r="J42" s="416">
        <f t="shared" si="10"/>
        <v>225</v>
      </c>
      <c r="K42" s="62">
        <f t="shared" si="9"/>
        <v>2250</v>
      </c>
      <c r="L42" s="62"/>
    </row>
    <row r="43" spans="1:12">
      <c r="A43" s="123"/>
      <c r="B43" s="11" t="s">
        <v>521</v>
      </c>
      <c r="C43" s="11" t="s">
        <v>522</v>
      </c>
      <c r="D43" s="7" t="s">
        <v>511</v>
      </c>
      <c r="E43" s="7">
        <v>300</v>
      </c>
      <c r="F43" s="298">
        <f t="shared" si="6"/>
        <v>2</v>
      </c>
      <c r="G43" s="298">
        <v>20</v>
      </c>
      <c r="H43" s="409">
        <f t="shared" si="7"/>
        <v>600</v>
      </c>
      <c r="I43" s="409">
        <f t="shared" si="8"/>
        <v>6000</v>
      </c>
      <c r="J43" s="416">
        <f t="shared" si="10"/>
        <v>600</v>
      </c>
      <c r="K43" s="62">
        <f t="shared" si="9"/>
        <v>6000</v>
      </c>
      <c r="L43" s="62"/>
    </row>
    <row r="44" spans="1:12">
      <c r="A44" s="123"/>
      <c r="B44" s="11" t="s">
        <v>523</v>
      </c>
      <c r="C44" s="11" t="s">
        <v>524</v>
      </c>
      <c r="D44" s="7" t="s">
        <v>525</v>
      </c>
      <c r="E44" s="7">
        <v>2</v>
      </c>
      <c r="F44" s="298">
        <f t="shared" si="6"/>
        <v>6.5</v>
      </c>
      <c r="G44" s="298">
        <v>65</v>
      </c>
      <c r="H44" s="409">
        <f t="shared" si="7"/>
        <v>13</v>
      </c>
      <c r="I44" s="409">
        <f t="shared" si="8"/>
        <v>130</v>
      </c>
      <c r="J44" s="416">
        <f t="shared" si="10"/>
        <v>13</v>
      </c>
      <c r="K44" s="62">
        <f t="shared" si="9"/>
        <v>130</v>
      </c>
      <c r="L44" s="62"/>
    </row>
    <row r="45" spans="1:12">
      <c r="A45" s="123"/>
      <c r="B45" s="11" t="s">
        <v>526</v>
      </c>
      <c r="C45" s="11" t="s">
        <v>527</v>
      </c>
      <c r="D45" s="7" t="s">
        <v>511</v>
      </c>
      <c r="E45" s="7">
        <v>20</v>
      </c>
      <c r="F45" s="298">
        <f t="shared" si="6"/>
        <v>8.5</v>
      </c>
      <c r="G45" s="298">
        <v>85</v>
      </c>
      <c r="H45" s="409">
        <f t="shared" si="7"/>
        <v>170</v>
      </c>
      <c r="I45" s="409">
        <f t="shared" si="8"/>
        <v>1700</v>
      </c>
      <c r="J45" s="416">
        <f t="shared" si="10"/>
        <v>170</v>
      </c>
      <c r="K45" s="62">
        <f t="shared" si="9"/>
        <v>1700</v>
      </c>
      <c r="L45" s="62"/>
    </row>
    <row r="46" spans="1:12">
      <c r="A46" s="123"/>
      <c r="B46" s="11" t="s">
        <v>526</v>
      </c>
      <c r="C46" s="11" t="s">
        <v>528</v>
      </c>
      <c r="D46" s="7" t="s">
        <v>511</v>
      </c>
      <c r="E46" s="7">
        <v>20</v>
      </c>
      <c r="F46" s="298">
        <f t="shared" si="6"/>
        <v>4.5</v>
      </c>
      <c r="G46" s="298">
        <v>45</v>
      </c>
      <c r="H46" s="409">
        <f t="shared" si="7"/>
        <v>90</v>
      </c>
      <c r="I46" s="409">
        <f t="shared" si="8"/>
        <v>900</v>
      </c>
      <c r="J46" s="416">
        <f t="shared" si="10"/>
        <v>90</v>
      </c>
      <c r="K46" s="62">
        <f t="shared" si="9"/>
        <v>900</v>
      </c>
      <c r="L46" s="62"/>
    </row>
    <row r="47" spans="1:12">
      <c r="A47" s="123"/>
      <c r="B47" s="11" t="s">
        <v>526</v>
      </c>
      <c r="C47" s="11" t="s">
        <v>529</v>
      </c>
      <c r="D47" s="7" t="s">
        <v>511</v>
      </c>
      <c r="E47" s="7">
        <v>80</v>
      </c>
      <c r="F47" s="298">
        <f t="shared" si="6"/>
        <v>3</v>
      </c>
      <c r="G47" s="298">
        <v>30</v>
      </c>
      <c r="H47" s="409">
        <f t="shared" si="7"/>
        <v>240</v>
      </c>
      <c r="I47" s="409">
        <f t="shared" si="8"/>
        <v>2400</v>
      </c>
      <c r="J47" s="416">
        <f t="shared" si="10"/>
        <v>240</v>
      </c>
      <c r="K47" s="62">
        <f t="shared" si="9"/>
        <v>2400</v>
      </c>
      <c r="L47" s="62"/>
    </row>
    <row r="48" spans="1:12">
      <c r="A48" s="123"/>
      <c r="B48" s="11" t="s">
        <v>530</v>
      </c>
      <c r="C48" s="11" t="s">
        <v>531</v>
      </c>
      <c r="D48" s="7" t="s">
        <v>511</v>
      </c>
      <c r="E48" s="7">
        <v>300</v>
      </c>
      <c r="F48" s="298">
        <f t="shared" si="6"/>
        <v>0.21</v>
      </c>
      <c r="G48" s="298">
        <v>2.1</v>
      </c>
      <c r="H48" s="409">
        <f t="shared" si="7"/>
        <v>63</v>
      </c>
      <c r="I48" s="409">
        <f t="shared" si="8"/>
        <v>630</v>
      </c>
      <c r="J48" s="416">
        <f t="shared" si="10"/>
        <v>63</v>
      </c>
      <c r="K48" s="62">
        <f t="shared" si="9"/>
        <v>630</v>
      </c>
      <c r="L48" s="62"/>
    </row>
    <row r="49" spans="1:12">
      <c r="A49" s="123"/>
      <c r="B49" s="11" t="s">
        <v>532</v>
      </c>
      <c r="C49" s="11" t="s">
        <v>533</v>
      </c>
      <c r="D49" s="7" t="s">
        <v>305</v>
      </c>
      <c r="E49" s="7">
        <v>1</v>
      </c>
      <c r="F49" s="298"/>
      <c r="G49" s="298">
        <v>1000</v>
      </c>
      <c r="H49" s="409"/>
      <c r="I49" s="409">
        <f t="shared" si="8"/>
        <v>1000</v>
      </c>
      <c r="J49" s="416"/>
      <c r="K49" s="62">
        <f t="shared" si="9"/>
        <v>1000</v>
      </c>
      <c r="L49" s="62"/>
    </row>
    <row r="50" ht="18" customHeight="1" spans="1:12">
      <c r="A50" s="123"/>
      <c r="B50" s="11" t="s">
        <v>534</v>
      </c>
      <c r="C50" s="11"/>
      <c r="D50" s="16"/>
      <c r="E50" s="16"/>
      <c r="F50" s="123"/>
      <c r="G50" s="123"/>
      <c r="H50" s="409"/>
      <c r="I50" s="409">
        <f>SUM(I31:I49)*0.07749</f>
        <v>5939.317261584</v>
      </c>
      <c r="J50" s="416">
        <f t="shared" ref="J50:J71" si="11">E50*F50</f>
        <v>0</v>
      </c>
      <c r="K50" s="62">
        <f>I50</f>
        <v>5939.317261584</v>
      </c>
      <c r="L50" s="62"/>
    </row>
    <row r="51" ht="18" customHeight="1" spans="1:11">
      <c r="A51" s="5" t="s">
        <v>83</v>
      </c>
      <c r="B51" s="391" t="s">
        <v>84</v>
      </c>
      <c r="C51" s="391"/>
      <c r="D51" s="392"/>
      <c r="E51" s="393"/>
      <c r="F51" s="5"/>
      <c r="G51" s="394"/>
      <c r="H51" s="395">
        <f>H52+H67+H72</f>
        <v>8523.6</v>
      </c>
      <c r="I51" s="395">
        <f>I52+I67+I72</f>
        <v>62420</v>
      </c>
      <c r="J51" s="416">
        <f t="shared" si="11"/>
        <v>0</v>
      </c>
      <c r="K51" s="62">
        <f t="shared" ref="K51:K58" si="12">E51*G51</f>
        <v>0</v>
      </c>
    </row>
    <row r="52" ht="18" customHeight="1" spans="1:11">
      <c r="A52" s="5" t="s">
        <v>539</v>
      </c>
      <c r="B52" s="391" t="s">
        <v>540</v>
      </c>
      <c r="C52" s="391"/>
      <c r="D52" s="392"/>
      <c r="E52" s="393"/>
      <c r="F52" s="5"/>
      <c r="G52" s="394"/>
      <c r="H52" s="395">
        <f>H53</f>
        <v>3902</v>
      </c>
      <c r="I52" s="395">
        <f>I53</f>
        <v>31900</v>
      </c>
      <c r="J52" s="416">
        <f t="shared" si="11"/>
        <v>0</v>
      </c>
      <c r="K52" s="62">
        <f t="shared" si="12"/>
        <v>0</v>
      </c>
    </row>
    <row r="53" ht="18" customHeight="1" spans="1:11">
      <c r="A53" s="7">
        <v>1</v>
      </c>
      <c r="B53" s="11" t="s">
        <v>450</v>
      </c>
      <c r="C53" s="11"/>
      <c r="D53" s="410"/>
      <c r="E53" s="534"/>
      <c r="F53" s="7"/>
      <c r="G53" s="394"/>
      <c r="H53" s="394">
        <f>H54+H62</f>
        <v>3902</v>
      </c>
      <c r="I53" s="394">
        <f>I54+I62</f>
        <v>31900</v>
      </c>
      <c r="J53" s="416">
        <f t="shared" si="11"/>
        <v>0</v>
      </c>
      <c r="K53" s="62">
        <f t="shared" si="12"/>
        <v>0</v>
      </c>
    </row>
    <row r="54" ht="18" customHeight="1" spans="1:11">
      <c r="A54" s="411">
        <v>1.1</v>
      </c>
      <c r="B54" s="412" t="s">
        <v>541</v>
      </c>
      <c r="C54" s="11"/>
      <c r="D54" s="411"/>
      <c r="E54" s="411"/>
      <c r="F54" s="7"/>
      <c r="G54" s="394"/>
      <c r="H54" s="394">
        <f>SUM(H55:H61)</f>
        <v>2474</v>
      </c>
      <c r="I54" s="394">
        <f>SUM(I55:I61)</f>
        <v>25300</v>
      </c>
      <c r="J54" s="416">
        <f t="shared" si="11"/>
        <v>0</v>
      </c>
      <c r="K54" s="62">
        <f t="shared" si="12"/>
        <v>0</v>
      </c>
    </row>
    <row r="55" ht="18" customHeight="1" spans="1:11">
      <c r="A55" s="413"/>
      <c r="B55" s="414" t="s">
        <v>542</v>
      </c>
      <c r="C55" s="406" t="s">
        <v>543</v>
      </c>
      <c r="D55" s="413" t="s">
        <v>453</v>
      </c>
      <c r="E55" s="413">
        <v>1</v>
      </c>
      <c r="F55" s="7">
        <f>G55*0.08</f>
        <v>1200</v>
      </c>
      <c r="G55" s="394">
        <v>15000</v>
      </c>
      <c r="H55" s="394">
        <f t="shared" ref="H55:H61" si="13">E55*F55</f>
        <v>1200</v>
      </c>
      <c r="I55" s="394">
        <f t="shared" ref="I55:I61" si="14">E55*G55</f>
        <v>15000</v>
      </c>
      <c r="J55" s="416">
        <f t="shared" si="11"/>
        <v>1200</v>
      </c>
      <c r="K55" s="62">
        <f t="shared" si="12"/>
        <v>15000</v>
      </c>
    </row>
    <row r="56" ht="18" customHeight="1" spans="1:11">
      <c r="A56" s="413"/>
      <c r="B56" s="414" t="s">
        <v>544</v>
      </c>
      <c r="C56" s="414" t="s">
        <v>545</v>
      </c>
      <c r="D56" s="413" t="s">
        <v>305</v>
      </c>
      <c r="E56" s="413">
        <v>3</v>
      </c>
      <c r="F56" s="7">
        <f>G56*0.08</f>
        <v>160</v>
      </c>
      <c r="G56" s="394">
        <v>2000</v>
      </c>
      <c r="H56" s="394">
        <f t="shared" si="13"/>
        <v>480</v>
      </c>
      <c r="I56" s="394">
        <f t="shared" si="14"/>
        <v>6000</v>
      </c>
      <c r="J56" s="416">
        <f t="shared" si="11"/>
        <v>480</v>
      </c>
      <c r="K56" s="62">
        <f t="shared" si="12"/>
        <v>6000</v>
      </c>
    </row>
    <row r="57" ht="18" customHeight="1" spans="1:11">
      <c r="A57" s="413"/>
      <c r="B57" s="366" t="s">
        <v>602</v>
      </c>
      <c r="C57" s="415" t="s">
        <v>603</v>
      </c>
      <c r="D57" s="384" t="s">
        <v>453</v>
      </c>
      <c r="E57" s="384">
        <v>1</v>
      </c>
      <c r="F57" s="7">
        <f>G57*0.08</f>
        <v>176</v>
      </c>
      <c r="G57" s="394">
        <v>2200</v>
      </c>
      <c r="H57" s="394">
        <f t="shared" si="13"/>
        <v>176</v>
      </c>
      <c r="I57" s="394">
        <f t="shared" si="14"/>
        <v>2200</v>
      </c>
      <c r="J57" s="416">
        <f t="shared" si="11"/>
        <v>176</v>
      </c>
      <c r="K57" s="62">
        <f t="shared" si="12"/>
        <v>2200</v>
      </c>
    </row>
    <row r="58" ht="18" customHeight="1" spans="1:11">
      <c r="A58" s="413"/>
      <c r="B58" s="366" t="s">
        <v>604</v>
      </c>
      <c r="C58" s="415" t="s">
        <v>605</v>
      </c>
      <c r="D58" s="384" t="s">
        <v>453</v>
      </c>
      <c r="E58" s="384">
        <v>1</v>
      </c>
      <c r="F58" s="7">
        <f>G58*0.08</f>
        <v>120</v>
      </c>
      <c r="G58" s="394">
        <v>1500</v>
      </c>
      <c r="H58" s="394">
        <f t="shared" si="13"/>
        <v>120</v>
      </c>
      <c r="I58" s="394">
        <f t="shared" si="14"/>
        <v>1500</v>
      </c>
      <c r="J58" s="416">
        <f t="shared" si="11"/>
        <v>120</v>
      </c>
      <c r="K58" s="62">
        <f t="shared" si="12"/>
        <v>1500</v>
      </c>
    </row>
    <row r="59" ht="18" customHeight="1" spans="1:11">
      <c r="A59" s="413"/>
      <c r="B59" s="11" t="s">
        <v>546</v>
      </c>
      <c r="C59" s="11" t="s">
        <v>547</v>
      </c>
      <c r="D59" s="413" t="s">
        <v>548</v>
      </c>
      <c r="E59" s="413">
        <v>1</v>
      </c>
      <c r="F59" s="7">
        <v>450</v>
      </c>
      <c r="G59" s="394"/>
      <c r="H59" s="394">
        <f t="shared" si="13"/>
        <v>450</v>
      </c>
      <c r="I59" s="394">
        <f t="shared" si="14"/>
        <v>0</v>
      </c>
      <c r="J59" s="416">
        <f t="shared" si="11"/>
        <v>450</v>
      </c>
      <c r="K59" s="62">
        <f t="shared" ref="K59:K71" si="15">E59*G59</f>
        <v>0</v>
      </c>
    </row>
    <row r="60" ht="18" customHeight="1" spans="1:11">
      <c r="A60" s="413"/>
      <c r="B60" s="414" t="s">
        <v>549</v>
      </c>
      <c r="C60" s="414" t="s">
        <v>550</v>
      </c>
      <c r="D60" s="413" t="s">
        <v>336</v>
      </c>
      <c r="E60" s="413">
        <v>1</v>
      </c>
      <c r="F60" s="7">
        <f>G60*0.08</f>
        <v>24</v>
      </c>
      <c r="G60" s="394">
        <v>300</v>
      </c>
      <c r="H60" s="394">
        <f t="shared" si="13"/>
        <v>24</v>
      </c>
      <c r="I60" s="394">
        <f t="shared" si="14"/>
        <v>300</v>
      </c>
      <c r="J60" s="416">
        <f t="shared" si="11"/>
        <v>24</v>
      </c>
      <c r="K60" s="62">
        <f t="shared" si="15"/>
        <v>300</v>
      </c>
    </row>
    <row r="61" ht="18" customHeight="1" spans="1:11">
      <c r="A61" s="413"/>
      <c r="B61" s="414" t="s">
        <v>551</v>
      </c>
      <c r="C61" s="414" t="s">
        <v>552</v>
      </c>
      <c r="D61" s="413" t="s">
        <v>553</v>
      </c>
      <c r="E61" s="413">
        <v>1</v>
      </c>
      <c r="F61" s="7">
        <f>G61*0.08</f>
        <v>24</v>
      </c>
      <c r="G61" s="394">
        <v>300</v>
      </c>
      <c r="H61" s="394">
        <f t="shared" si="13"/>
        <v>24</v>
      </c>
      <c r="I61" s="394">
        <f t="shared" si="14"/>
        <v>300</v>
      </c>
      <c r="J61" s="416">
        <f t="shared" si="11"/>
        <v>24</v>
      </c>
      <c r="K61" s="62">
        <f t="shared" si="15"/>
        <v>300</v>
      </c>
    </row>
    <row r="62" ht="18" customHeight="1" spans="1:11">
      <c r="A62" s="7">
        <v>1.2</v>
      </c>
      <c r="B62" s="11" t="s">
        <v>554</v>
      </c>
      <c r="C62" s="11"/>
      <c r="D62" s="410"/>
      <c r="E62" s="7"/>
      <c r="F62" s="7"/>
      <c r="G62" s="394"/>
      <c r="H62" s="394">
        <f>SUM(H63:H66)</f>
        <v>1428</v>
      </c>
      <c r="I62" s="394">
        <f>SUM(I63:I66)</f>
        <v>6600</v>
      </c>
      <c r="J62" s="416">
        <f t="shared" si="11"/>
        <v>0</v>
      </c>
      <c r="K62" s="62">
        <f t="shared" si="15"/>
        <v>0</v>
      </c>
    </row>
    <row r="63" ht="18" customHeight="1" spans="1:11">
      <c r="A63" s="7"/>
      <c r="B63" s="414" t="s">
        <v>555</v>
      </c>
      <c r="C63" s="414" t="s">
        <v>556</v>
      </c>
      <c r="D63" s="413" t="s">
        <v>453</v>
      </c>
      <c r="E63" s="413">
        <v>1</v>
      </c>
      <c r="F63" s="7">
        <f t="shared" ref="F63:F66" si="16">G63*0.08</f>
        <v>240</v>
      </c>
      <c r="G63" s="394">
        <v>3000</v>
      </c>
      <c r="H63" s="394">
        <f t="shared" ref="H63:H66" si="17">E63*F63</f>
        <v>240</v>
      </c>
      <c r="I63" s="394">
        <f t="shared" ref="I63:I66" si="18">E63*G63</f>
        <v>3000</v>
      </c>
      <c r="J63" s="416">
        <f t="shared" si="11"/>
        <v>240</v>
      </c>
      <c r="K63" s="62">
        <f t="shared" si="15"/>
        <v>3000</v>
      </c>
    </row>
    <row r="64" ht="18" customHeight="1" spans="1:11">
      <c r="A64" s="7"/>
      <c r="B64" s="414" t="s">
        <v>555</v>
      </c>
      <c r="C64" s="414" t="s">
        <v>557</v>
      </c>
      <c r="D64" s="413" t="s">
        <v>453</v>
      </c>
      <c r="E64" s="413">
        <v>1</v>
      </c>
      <c r="F64" s="7">
        <f t="shared" si="16"/>
        <v>240</v>
      </c>
      <c r="G64" s="394">
        <v>3000</v>
      </c>
      <c r="H64" s="394">
        <f t="shared" si="17"/>
        <v>240</v>
      </c>
      <c r="I64" s="394">
        <f t="shared" si="18"/>
        <v>3000</v>
      </c>
      <c r="J64" s="416">
        <f t="shared" si="11"/>
        <v>240</v>
      </c>
      <c r="K64" s="62">
        <f t="shared" si="15"/>
        <v>3000</v>
      </c>
    </row>
    <row r="65" ht="18" customHeight="1" spans="1:11">
      <c r="A65" s="7"/>
      <c r="B65" s="11" t="s">
        <v>558</v>
      </c>
      <c r="C65" s="11" t="s">
        <v>559</v>
      </c>
      <c r="D65" s="413" t="s">
        <v>548</v>
      </c>
      <c r="E65" s="413">
        <v>2</v>
      </c>
      <c r="F65" s="7">
        <v>450</v>
      </c>
      <c r="G65" s="394"/>
      <c r="H65" s="394">
        <f t="shared" si="17"/>
        <v>900</v>
      </c>
      <c r="I65" s="394">
        <f t="shared" si="18"/>
        <v>0</v>
      </c>
      <c r="J65" s="416">
        <f t="shared" si="11"/>
        <v>900</v>
      </c>
      <c r="K65" s="62">
        <f t="shared" si="15"/>
        <v>0</v>
      </c>
    </row>
    <row r="66" ht="18" customHeight="1" spans="1:11">
      <c r="A66" s="7"/>
      <c r="B66" s="414" t="s">
        <v>551</v>
      </c>
      <c r="C66" s="414" t="s">
        <v>552</v>
      </c>
      <c r="D66" s="413" t="s">
        <v>553</v>
      </c>
      <c r="E66" s="413">
        <v>2</v>
      </c>
      <c r="F66" s="7">
        <f t="shared" si="16"/>
        <v>24</v>
      </c>
      <c r="G66" s="394">
        <v>300</v>
      </c>
      <c r="H66" s="394">
        <f t="shared" si="17"/>
        <v>48</v>
      </c>
      <c r="I66" s="394">
        <f t="shared" si="18"/>
        <v>600</v>
      </c>
      <c r="J66" s="416">
        <f t="shared" si="11"/>
        <v>48</v>
      </c>
      <c r="K66" s="62">
        <f t="shared" si="15"/>
        <v>600</v>
      </c>
    </row>
    <row r="67" ht="18" customHeight="1" spans="1:11">
      <c r="A67" s="5" t="s">
        <v>564</v>
      </c>
      <c r="B67" s="418" t="s">
        <v>565</v>
      </c>
      <c r="C67" s="406"/>
      <c r="D67" s="123"/>
      <c r="E67" s="123"/>
      <c r="F67" s="7"/>
      <c r="G67" s="394"/>
      <c r="H67" s="395">
        <f>H68</f>
        <v>2441.6</v>
      </c>
      <c r="I67" s="395">
        <f>I68</f>
        <v>30520</v>
      </c>
      <c r="J67" s="416">
        <f t="shared" si="11"/>
        <v>0</v>
      </c>
      <c r="K67" s="62">
        <f t="shared" si="15"/>
        <v>0</v>
      </c>
    </row>
    <row r="68" ht="18" customHeight="1" spans="1:11">
      <c r="A68" s="413">
        <v>1</v>
      </c>
      <c r="B68" s="414" t="s">
        <v>566</v>
      </c>
      <c r="C68" s="414"/>
      <c r="D68" s="413"/>
      <c r="E68" s="413"/>
      <c r="F68" s="7"/>
      <c r="G68" s="394"/>
      <c r="H68" s="394">
        <f>SUM(H69:H71)</f>
        <v>2441.6</v>
      </c>
      <c r="I68" s="394">
        <f>SUM(I69:I71)</f>
        <v>30520</v>
      </c>
      <c r="J68" s="416">
        <f t="shared" si="11"/>
        <v>0</v>
      </c>
      <c r="K68" s="62">
        <f t="shared" si="15"/>
        <v>0</v>
      </c>
    </row>
    <row r="69" ht="18" customHeight="1" spans="1:11">
      <c r="A69" s="413"/>
      <c r="B69" s="414" t="s">
        <v>567</v>
      </c>
      <c r="C69" s="414" t="s">
        <v>568</v>
      </c>
      <c r="D69" s="413" t="s">
        <v>453</v>
      </c>
      <c r="E69" s="413">
        <v>14</v>
      </c>
      <c r="F69" s="90">
        <f t="shared" ref="F69:F71" si="19">G69*0.08</f>
        <v>124.8</v>
      </c>
      <c r="G69" s="394">
        <f>1300*1.2</f>
        <v>1560</v>
      </c>
      <c r="H69" s="394">
        <f t="shared" ref="H69:H71" si="20">E69*F69</f>
        <v>1747.2</v>
      </c>
      <c r="I69" s="394">
        <f t="shared" ref="I69:I71" si="21">E69*G69</f>
        <v>21840</v>
      </c>
      <c r="J69" s="416">
        <f t="shared" si="11"/>
        <v>1747.2</v>
      </c>
      <c r="K69" s="62">
        <f t="shared" si="15"/>
        <v>21840</v>
      </c>
    </row>
    <row r="70" ht="18" customHeight="1" spans="1:11">
      <c r="A70" s="413"/>
      <c r="B70" s="414" t="s">
        <v>569</v>
      </c>
      <c r="C70" s="414" t="s">
        <v>570</v>
      </c>
      <c r="D70" s="413" t="s">
        <v>453</v>
      </c>
      <c r="E70" s="413">
        <v>14</v>
      </c>
      <c r="F70" s="90">
        <f t="shared" si="19"/>
        <v>33.6</v>
      </c>
      <c r="G70" s="394">
        <f>350*1.2</f>
        <v>420</v>
      </c>
      <c r="H70" s="394">
        <f t="shared" si="20"/>
        <v>470.4</v>
      </c>
      <c r="I70" s="394">
        <f t="shared" si="21"/>
        <v>5880</v>
      </c>
      <c r="J70" s="416">
        <f t="shared" si="11"/>
        <v>470.4</v>
      </c>
      <c r="K70" s="62">
        <f t="shared" si="15"/>
        <v>5880</v>
      </c>
    </row>
    <row r="71" ht="18" customHeight="1" spans="1:11">
      <c r="A71" s="413"/>
      <c r="B71" s="414" t="s">
        <v>571</v>
      </c>
      <c r="C71" s="414" t="s">
        <v>572</v>
      </c>
      <c r="D71" s="413" t="s">
        <v>305</v>
      </c>
      <c r="E71" s="413">
        <v>14</v>
      </c>
      <c r="F71" s="90">
        <f t="shared" si="19"/>
        <v>16</v>
      </c>
      <c r="G71" s="394">
        <v>200</v>
      </c>
      <c r="H71" s="394">
        <f t="shared" si="20"/>
        <v>224</v>
      </c>
      <c r="I71" s="394">
        <f t="shared" si="21"/>
        <v>2800</v>
      </c>
      <c r="J71" s="416">
        <f t="shared" si="11"/>
        <v>224</v>
      </c>
      <c r="K71" s="62">
        <f t="shared" si="15"/>
        <v>2800</v>
      </c>
    </row>
    <row r="72" ht="18" customHeight="1" spans="1:12">
      <c r="A72" s="5" t="s">
        <v>577</v>
      </c>
      <c r="B72" s="419" t="s">
        <v>578</v>
      </c>
      <c r="C72" s="420"/>
      <c r="D72" s="421"/>
      <c r="E72" s="421"/>
      <c r="F72" s="5"/>
      <c r="G72" s="395"/>
      <c r="H72" s="395">
        <f>SUM(H73:H82)</f>
        <v>2180</v>
      </c>
      <c r="I72" s="395"/>
      <c r="J72" s="416">
        <f t="shared" ref="J72:J82" si="22">E72*F72</f>
        <v>0</v>
      </c>
      <c r="K72" s="62">
        <f t="shared" ref="K72:K82" si="23">E72*G72</f>
        <v>0</v>
      </c>
      <c r="L72" s="417"/>
    </row>
    <row r="73" ht="18" customHeight="1" spans="1:11">
      <c r="A73" s="7"/>
      <c r="B73" s="11" t="s">
        <v>579</v>
      </c>
      <c r="C73" s="11"/>
      <c r="D73" s="7" t="s">
        <v>336</v>
      </c>
      <c r="E73" s="7">
        <v>1</v>
      </c>
      <c r="F73" s="90">
        <v>200</v>
      </c>
      <c r="G73" s="394"/>
      <c r="H73" s="394">
        <f t="shared" ref="H73:H82" si="24">E73*F73</f>
        <v>200</v>
      </c>
      <c r="I73" s="394"/>
      <c r="J73" s="416">
        <f t="shared" si="22"/>
        <v>200</v>
      </c>
      <c r="K73" s="62">
        <f t="shared" si="23"/>
        <v>0</v>
      </c>
    </row>
    <row r="74" ht="18" customHeight="1" spans="1:11">
      <c r="A74" s="7"/>
      <c r="B74" s="11" t="s">
        <v>580</v>
      </c>
      <c r="C74" s="11"/>
      <c r="D74" s="7" t="s">
        <v>363</v>
      </c>
      <c r="E74" s="7">
        <v>1</v>
      </c>
      <c r="F74" s="90">
        <v>50</v>
      </c>
      <c r="G74" s="394"/>
      <c r="H74" s="394">
        <f t="shared" si="24"/>
        <v>50</v>
      </c>
      <c r="I74" s="394"/>
      <c r="J74" s="416">
        <f t="shared" si="22"/>
        <v>50</v>
      </c>
      <c r="K74" s="62">
        <f t="shared" si="23"/>
        <v>0</v>
      </c>
    </row>
    <row r="75" ht="18" customHeight="1" spans="1:11">
      <c r="A75" s="7"/>
      <c r="B75" s="11" t="s">
        <v>581</v>
      </c>
      <c r="C75" s="11"/>
      <c r="D75" s="7" t="s">
        <v>363</v>
      </c>
      <c r="E75" s="7">
        <v>2</v>
      </c>
      <c r="F75" s="90">
        <v>20</v>
      </c>
      <c r="G75" s="394"/>
      <c r="H75" s="394">
        <f t="shared" si="24"/>
        <v>40</v>
      </c>
      <c r="I75" s="394"/>
      <c r="J75" s="416">
        <f t="shared" si="22"/>
        <v>40</v>
      </c>
      <c r="K75" s="62">
        <f t="shared" si="23"/>
        <v>0</v>
      </c>
    </row>
    <row r="76" ht="18" customHeight="1" spans="1:11">
      <c r="A76" s="7"/>
      <c r="B76" s="11" t="s">
        <v>582</v>
      </c>
      <c r="C76" s="11"/>
      <c r="D76" s="7" t="s">
        <v>363</v>
      </c>
      <c r="E76" s="7">
        <v>1</v>
      </c>
      <c r="F76" s="90">
        <v>50</v>
      </c>
      <c r="G76" s="394"/>
      <c r="H76" s="394">
        <f t="shared" si="24"/>
        <v>50</v>
      </c>
      <c r="I76" s="394"/>
      <c r="J76" s="416">
        <f t="shared" si="22"/>
        <v>50</v>
      </c>
      <c r="K76" s="62">
        <f t="shared" si="23"/>
        <v>0</v>
      </c>
    </row>
    <row r="77" ht="18" customHeight="1" spans="1:11">
      <c r="A77" s="7"/>
      <c r="B77" s="11" t="s">
        <v>583</v>
      </c>
      <c r="C77" s="11"/>
      <c r="D77" s="7" t="s">
        <v>363</v>
      </c>
      <c r="E77" s="7">
        <v>1</v>
      </c>
      <c r="F77" s="90">
        <v>50</v>
      </c>
      <c r="G77" s="394"/>
      <c r="H77" s="394">
        <f t="shared" si="24"/>
        <v>50</v>
      </c>
      <c r="I77" s="394"/>
      <c r="J77" s="416">
        <f t="shared" si="22"/>
        <v>50</v>
      </c>
      <c r="K77" s="62">
        <f t="shared" si="23"/>
        <v>0</v>
      </c>
    </row>
    <row r="78" ht="18" customHeight="1" spans="1:11">
      <c r="A78" s="7"/>
      <c r="B78" s="11" t="s">
        <v>584</v>
      </c>
      <c r="C78" s="11"/>
      <c r="D78" s="7" t="s">
        <v>363</v>
      </c>
      <c r="E78" s="7">
        <v>14</v>
      </c>
      <c r="F78" s="90">
        <v>30</v>
      </c>
      <c r="G78" s="394"/>
      <c r="H78" s="394">
        <f t="shared" si="24"/>
        <v>420</v>
      </c>
      <c r="I78" s="394"/>
      <c r="J78" s="416">
        <f t="shared" si="22"/>
        <v>420</v>
      </c>
      <c r="K78" s="62">
        <f t="shared" si="23"/>
        <v>0</v>
      </c>
    </row>
    <row r="79" ht="18" customHeight="1" spans="1:11">
      <c r="A79" s="7"/>
      <c r="B79" s="11" t="s">
        <v>585</v>
      </c>
      <c r="C79" s="11"/>
      <c r="D79" s="7" t="s">
        <v>363</v>
      </c>
      <c r="E79" s="7"/>
      <c r="F79" s="90">
        <v>30</v>
      </c>
      <c r="G79" s="394"/>
      <c r="H79" s="394">
        <f t="shared" si="24"/>
        <v>0</v>
      </c>
      <c r="I79" s="394"/>
      <c r="J79" s="416">
        <f t="shared" si="22"/>
        <v>0</v>
      </c>
      <c r="K79" s="62">
        <f t="shared" si="23"/>
        <v>0</v>
      </c>
    </row>
    <row r="80" ht="18" customHeight="1" spans="1:11">
      <c r="A80" s="7"/>
      <c r="B80" s="11" t="s">
        <v>586</v>
      </c>
      <c r="C80" s="11"/>
      <c r="D80" s="7" t="s">
        <v>363</v>
      </c>
      <c r="E80" s="7">
        <v>2</v>
      </c>
      <c r="F80" s="90">
        <v>30</v>
      </c>
      <c r="G80" s="394"/>
      <c r="H80" s="394">
        <f t="shared" si="24"/>
        <v>60</v>
      </c>
      <c r="I80" s="395"/>
      <c r="J80" s="416">
        <f t="shared" si="22"/>
        <v>60</v>
      </c>
      <c r="K80" s="62">
        <f t="shared" si="23"/>
        <v>0</v>
      </c>
    </row>
    <row r="81" ht="18" customHeight="1" spans="1:11">
      <c r="A81" s="7"/>
      <c r="B81" s="11" t="s">
        <v>587</v>
      </c>
      <c r="C81" s="11"/>
      <c r="D81" s="7" t="s">
        <v>363</v>
      </c>
      <c r="E81" s="7">
        <v>3</v>
      </c>
      <c r="F81" s="90">
        <v>30</v>
      </c>
      <c r="G81" s="394"/>
      <c r="H81" s="394">
        <f t="shared" si="24"/>
        <v>90</v>
      </c>
      <c r="I81" s="395"/>
      <c r="J81" s="416">
        <f t="shared" si="22"/>
        <v>90</v>
      </c>
      <c r="K81" s="62">
        <f t="shared" si="23"/>
        <v>0</v>
      </c>
    </row>
    <row r="82" ht="18" customHeight="1" spans="1:11">
      <c r="A82" s="7"/>
      <c r="B82" s="11" t="s">
        <v>588</v>
      </c>
      <c r="C82" s="11"/>
      <c r="D82" s="7" t="s">
        <v>589</v>
      </c>
      <c r="E82" s="7">
        <v>244</v>
      </c>
      <c r="F82" s="90">
        <v>5</v>
      </c>
      <c r="G82" s="394"/>
      <c r="H82" s="394">
        <f t="shared" si="24"/>
        <v>1220</v>
      </c>
      <c r="I82" s="395"/>
      <c r="J82" s="416">
        <f t="shared" si="22"/>
        <v>1220</v>
      </c>
      <c r="K82" s="62">
        <f t="shared" si="23"/>
        <v>0</v>
      </c>
    </row>
    <row r="83" ht="18" customHeight="1" spans="1:11">
      <c r="A83" s="341"/>
      <c r="B83" s="422"/>
      <c r="C83" s="422"/>
      <c r="D83" s="341"/>
      <c r="E83" s="341"/>
      <c r="F83" s="423"/>
      <c r="G83" s="424"/>
      <c r="H83" s="424"/>
      <c r="I83" s="427"/>
      <c r="J83" s="416"/>
      <c r="K83" s="62"/>
    </row>
    <row r="84" ht="18" customHeight="1" spans="1:12">
      <c r="A84" s="256"/>
      <c r="B84" s="391" t="s">
        <v>108</v>
      </c>
      <c r="C84" s="391"/>
      <c r="D84" s="256"/>
      <c r="E84" s="425"/>
      <c r="F84" s="7"/>
      <c r="G84" s="426"/>
      <c r="H84" s="395">
        <f>H85</f>
        <v>9000</v>
      </c>
      <c r="I84" s="395">
        <f>I85</f>
        <v>0</v>
      </c>
      <c r="J84" s="62"/>
      <c r="K84" s="62"/>
      <c r="L84" s="62"/>
    </row>
    <row r="85" ht="18" customHeight="1" spans="1:9">
      <c r="A85" s="398">
        <v>1</v>
      </c>
      <c r="B85" s="399" t="s">
        <v>450</v>
      </c>
      <c r="C85" s="11"/>
      <c r="D85" s="7"/>
      <c r="E85" s="7"/>
      <c r="F85" s="7"/>
      <c r="G85" s="7"/>
      <c r="H85" s="7">
        <f>SUM(H86:H86)</f>
        <v>9000</v>
      </c>
      <c r="I85" s="7">
        <f>SUM(I86:I86)</f>
        <v>0</v>
      </c>
    </row>
    <row r="86" ht="18" customHeight="1" spans="1:9">
      <c r="A86" s="8"/>
      <c r="B86" s="406" t="s">
        <v>590</v>
      </c>
      <c r="C86" s="406" t="s">
        <v>591</v>
      </c>
      <c r="D86" s="123" t="s">
        <v>200</v>
      </c>
      <c r="E86" s="123">
        <v>1</v>
      </c>
      <c r="F86" s="7">
        <v>9000</v>
      </c>
      <c r="G86" s="7"/>
      <c r="H86" s="7">
        <f>E86*F86</f>
        <v>9000</v>
      </c>
      <c r="I86" s="7"/>
    </row>
    <row r="87" ht="18" customHeight="1" spans="1:9">
      <c r="A87" s="8"/>
      <c r="B87" s="11"/>
      <c r="C87" s="11"/>
      <c r="D87" s="7"/>
      <c r="E87" s="7"/>
      <c r="F87" s="7"/>
      <c r="G87" s="8"/>
      <c r="H87" s="7"/>
      <c r="I87" s="8"/>
    </row>
    <row r="88" ht="18" customHeight="1" spans="1:9">
      <c r="A88" s="8"/>
      <c r="B88" s="11"/>
      <c r="C88" s="11"/>
      <c r="D88" s="7"/>
      <c r="E88" s="7"/>
      <c r="F88" s="7"/>
      <c r="G88" s="8"/>
      <c r="H88" s="7"/>
      <c r="I88" s="8"/>
    </row>
    <row r="89" spans="1:9">
      <c r="A89" s="8"/>
      <c r="B89" s="11"/>
      <c r="C89" s="11"/>
      <c r="D89" s="7"/>
      <c r="E89" s="7"/>
      <c r="F89" s="7"/>
      <c r="G89" s="8"/>
      <c r="H89" s="7"/>
      <c r="I89" s="8"/>
    </row>
    <row r="90" spans="1:9">
      <c r="A90" s="8"/>
      <c r="B90" s="11"/>
      <c r="C90" s="11"/>
      <c r="D90" s="7"/>
      <c r="E90" s="7"/>
      <c r="F90" s="7"/>
      <c r="G90" s="8"/>
      <c r="H90" s="7"/>
      <c r="I90" s="8"/>
    </row>
    <row r="91" spans="1:9">
      <c r="A91" s="8"/>
      <c r="B91" s="11"/>
      <c r="C91" s="11"/>
      <c r="D91" s="7"/>
      <c r="E91" s="7"/>
      <c r="F91" s="7"/>
      <c r="G91" s="8"/>
      <c r="H91" s="7"/>
      <c r="I91" s="8"/>
    </row>
    <row r="92" spans="1:9">
      <c r="A92" s="8"/>
      <c r="B92" s="11"/>
      <c r="C92" s="11"/>
      <c r="D92" s="7"/>
      <c r="E92" s="7"/>
      <c r="F92" s="7"/>
      <c r="G92" s="8"/>
      <c r="H92" s="7"/>
      <c r="I92" s="8"/>
    </row>
    <row r="93" spans="1:9">
      <c r="A93" s="8"/>
      <c r="B93" s="11"/>
      <c r="C93" s="11"/>
      <c r="D93" s="7"/>
      <c r="E93" s="7"/>
      <c r="F93" s="7"/>
      <c r="G93" s="75"/>
      <c r="H93" s="75"/>
      <c r="I93" s="75"/>
    </row>
    <row r="94" spans="1:9">
      <c r="A94" s="8"/>
      <c r="B94" s="11"/>
      <c r="C94" s="11"/>
      <c r="D94" s="7"/>
      <c r="E94" s="7"/>
      <c r="F94" s="7"/>
      <c r="G94" s="75"/>
      <c r="H94" s="75"/>
      <c r="I94" s="75"/>
    </row>
  </sheetData>
  <mergeCells count="12">
    <mergeCell ref="F3:G3"/>
    <mergeCell ref="H3:I3"/>
    <mergeCell ref="B5:C5"/>
    <mergeCell ref="B68:C68"/>
    <mergeCell ref="B72:C72"/>
    <mergeCell ref="B84:C84"/>
    <mergeCell ref="A3:A4"/>
    <mergeCell ref="B3:B4"/>
    <mergeCell ref="C3:C4"/>
    <mergeCell ref="D3:D4"/>
    <mergeCell ref="E3:E4"/>
    <mergeCell ref="A1:I2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66FF"/>
  </sheetPr>
  <dimension ref="A1:F58"/>
  <sheetViews>
    <sheetView workbookViewId="0">
      <selection activeCell="C10" sqref="C10"/>
    </sheetView>
  </sheetViews>
  <sheetFormatPr defaultColWidth="9" defaultRowHeight="14.25" outlineLevelCol="5"/>
  <cols>
    <col min="2" max="2" width="29.25" customWidth="1"/>
    <col min="3" max="3" width="9.375"/>
    <col min="6" max="6" width="12.625" customWidth="1"/>
  </cols>
  <sheetData>
    <row r="1" ht="20" customHeight="1" spans="1:6">
      <c r="A1" s="501" t="s">
        <v>606</v>
      </c>
      <c r="B1" s="501"/>
      <c r="C1" s="501"/>
      <c r="D1" s="501"/>
      <c r="E1" s="501"/>
      <c r="F1" s="501"/>
    </row>
    <row r="2" ht="20" customHeight="1" spans="1:6">
      <c r="A2" s="502"/>
      <c r="B2" s="502"/>
      <c r="C2" s="502"/>
      <c r="D2" s="502"/>
      <c r="E2" s="502"/>
      <c r="F2" s="503" t="s">
        <v>71</v>
      </c>
    </row>
    <row r="3" ht="29" customHeight="1" spans="1:6">
      <c r="A3" s="504" t="s">
        <v>1</v>
      </c>
      <c r="B3" s="504" t="s">
        <v>72</v>
      </c>
      <c r="C3" s="504" t="s">
        <v>117</v>
      </c>
      <c r="D3" s="504" t="s">
        <v>118</v>
      </c>
      <c r="E3" s="504" t="s">
        <v>119</v>
      </c>
      <c r="F3" s="504" t="s">
        <v>106</v>
      </c>
    </row>
    <row r="4" ht="20" customHeight="1" spans="1:6">
      <c r="A4" s="505" t="s">
        <v>120</v>
      </c>
      <c r="B4" s="505"/>
      <c r="C4" s="506">
        <f>SUM(C5:C8)</f>
        <v>499.660654102956</v>
      </c>
      <c r="D4" s="507"/>
      <c r="E4" s="508"/>
      <c r="F4" s="509">
        <f t="shared" ref="F4:F7" si="0">SUM(C4:E4)</f>
        <v>499.660654102956</v>
      </c>
    </row>
    <row r="5" ht="20" customHeight="1" spans="1:6">
      <c r="A5" s="510" t="s">
        <v>34</v>
      </c>
      <c r="B5" s="511" t="str">
        <f>建筑概算核!B7</f>
        <v>生态护岸工程</v>
      </c>
      <c r="C5" s="512">
        <f>'概算（城关）'!F7/10000</f>
        <v>28.9526218950621</v>
      </c>
      <c r="D5" s="513"/>
      <c r="E5" s="72"/>
      <c r="F5" s="71">
        <f t="shared" si="0"/>
        <v>28.9526218950621</v>
      </c>
    </row>
    <row r="6" ht="20" customHeight="1" spans="1:6">
      <c r="A6" s="510" t="s">
        <v>46</v>
      </c>
      <c r="B6" s="511" t="str">
        <f>建筑概算核!B103</f>
        <v>污染底泥清除</v>
      </c>
      <c r="C6" s="512">
        <f>'概算（城关）'!F41/10000</f>
        <v>153.473934986213</v>
      </c>
      <c r="D6" s="513"/>
      <c r="E6" s="72"/>
      <c r="F6" s="71">
        <f t="shared" si="0"/>
        <v>153.473934986213</v>
      </c>
    </row>
    <row r="7" ht="20" customHeight="1" spans="1:6">
      <c r="A7" s="510" t="s">
        <v>83</v>
      </c>
      <c r="B7" s="511" t="str">
        <f>建筑概算核!B105</f>
        <v>生态沟渠工程</v>
      </c>
      <c r="C7" s="512">
        <f>'概算（城关）'!F43/10000</f>
        <v>168.147993565615</v>
      </c>
      <c r="D7" s="513"/>
      <c r="E7" s="72"/>
      <c r="F7" s="71">
        <f t="shared" si="0"/>
        <v>168.147993565615</v>
      </c>
    </row>
    <row r="8" ht="20" customHeight="1" spans="1:6">
      <c r="A8" s="510" t="s">
        <v>121</v>
      </c>
      <c r="B8" s="511" t="s">
        <v>79</v>
      </c>
      <c r="C8" s="512">
        <f>'概算（城关）'!F60/10000</f>
        <v>149.086103656066</v>
      </c>
      <c r="D8" s="513"/>
      <c r="E8" s="72"/>
      <c r="F8" s="71">
        <f>C8</f>
        <v>149.086103656066</v>
      </c>
    </row>
    <row r="9" ht="20" customHeight="1" spans="1:6">
      <c r="A9" s="5" t="s">
        <v>122</v>
      </c>
      <c r="B9" s="5"/>
      <c r="C9" s="514">
        <f>SUM(C10:C12)</f>
        <v>2.423436416</v>
      </c>
      <c r="D9" s="514">
        <f>SUM(D10:D12)</f>
        <v>23.8641170111584</v>
      </c>
      <c r="E9" s="514"/>
      <c r="F9" s="509">
        <f t="shared" ref="F9:F13" si="1">C9+D9</f>
        <v>26.2875534271584</v>
      </c>
    </row>
    <row r="10" ht="20" customHeight="1" spans="1:6">
      <c r="A10" s="7" t="s">
        <v>34</v>
      </c>
      <c r="B10" s="11" t="str">
        <f>安装概算核!B6</f>
        <v>水机设备及安装工程</v>
      </c>
      <c r="C10" s="515">
        <f>'安装（城关）'!H6/10000</f>
        <v>0.82025</v>
      </c>
      <c r="D10" s="515">
        <f>'安装（城关）'!I6/10000</f>
        <v>8.902761125</v>
      </c>
      <c r="E10" s="515"/>
      <c r="F10" s="71">
        <f t="shared" si="1"/>
        <v>9.723011125</v>
      </c>
    </row>
    <row r="11" ht="20" customHeight="1" spans="1:6">
      <c r="A11" s="7" t="s">
        <v>46</v>
      </c>
      <c r="B11" s="11" t="str">
        <f>安装概算核!B64</f>
        <v>电气设备及安装工程</v>
      </c>
      <c r="C11" s="515">
        <f>'安装（城关）'!H29/10000</f>
        <v>0.756462416</v>
      </c>
      <c r="D11" s="515">
        <f>'安装（城关）'!I29/10000</f>
        <v>8.2585558861584</v>
      </c>
      <c r="E11" s="515"/>
      <c r="F11" s="71">
        <f t="shared" si="1"/>
        <v>9.0150183021584</v>
      </c>
    </row>
    <row r="12" ht="20" customHeight="1" spans="1:6">
      <c r="A12" s="7" t="s">
        <v>83</v>
      </c>
      <c r="B12" s="11" t="str">
        <f>安装概算核!B126</f>
        <v>自动化工程</v>
      </c>
      <c r="C12" s="515">
        <f>'安装（城关）'!H52/10000</f>
        <v>0.846724</v>
      </c>
      <c r="D12" s="515">
        <f>'安装（城关）'!I52/10000</f>
        <v>6.7028</v>
      </c>
      <c r="E12" s="515"/>
      <c r="F12" s="71">
        <f t="shared" si="1"/>
        <v>7.549524</v>
      </c>
    </row>
    <row r="13" ht="20" customHeight="1" spans="1:6">
      <c r="A13" s="5" t="s">
        <v>85</v>
      </c>
      <c r="B13" s="5"/>
      <c r="C13" s="514">
        <f>'安装（城关）'!H86/10000</f>
        <v>0.792</v>
      </c>
      <c r="D13" s="514"/>
      <c r="E13" s="514"/>
      <c r="F13" s="509">
        <f t="shared" si="1"/>
        <v>0.792</v>
      </c>
    </row>
    <row r="14" ht="20" customHeight="1" spans="1:6">
      <c r="A14" s="5" t="s">
        <v>86</v>
      </c>
      <c r="B14" s="5"/>
      <c r="C14" s="514">
        <f>C4+C9+C13</f>
        <v>502.876090518956</v>
      </c>
      <c r="D14" s="514">
        <f>D4+D9+D13</f>
        <v>23.8641170111584</v>
      </c>
      <c r="E14" s="516"/>
      <c r="F14" s="509">
        <f t="shared" ref="F14:F24" si="2">SUM(C14:E14)</f>
        <v>526.740207530115</v>
      </c>
    </row>
    <row r="15" ht="20" customHeight="1" spans="1:6">
      <c r="A15" s="5" t="s">
        <v>87</v>
      </c>
      <c r="B15" s="5"/>
      <c r="C15" s="277">
        <f>'概算（城关）'!F158/10000</f>
        <v>27.7085771691863</v>
      </c>
      <c r="D15" s="5"/>
      <c r="E15" s="5"/>
      <c r="F15" s="509">
        <f t="shared" si="2"/>
        <v>27.7085771691863</v>
      </c>
    </row>
    <row r="16" ht="20" customHeight="1" spans="1:6">
      <c r="A16" s="5" t="s">
        <v>88</v>
      </c>
      <c r="B16" s="5"/>
      <c r="C16" s="277">
        <f>C14+C15</f>
        <v>530.584667688143</v>
      </c>
      <c r="D16" s="277">
        <f>D14+D15</f>
        <v>23.8641170111584</v>
      </c>
      <c r="E16" s="5"/>
      <c r="F16" s="509">
        <f t="shared" si="2"/>
        <v>554.448784699301</v>
      </c>
    </row>
    <row r="17" ht="20" customHeight="1" spans="1:6">
      <c r="A17" s="5" t="s">
        <v>89</v>
      </c>
      <c r="B17" s="5"/>
      <c r="C17" s="277"/>
      <c r="D17" s="5"/>
      <c r="E17" s="277">
        <f>E18+E19+E20+E21</f>
        <v>83.3658292460104</v>
      </c>
      <c r="F17" s="509">
        <f t="shared" si="2"/>
        <v>83.3658292460104</v>
      </c>
    </row>
    <row r="18" ht="20" customHeight="1" spans="1:6">
      <c r="A18" s="67" t="s">
        <v>34</v>
      </c>
      <c r="B18" s="11" t="s">
        <v>123</v>
      </c>
      <c r="C18" s="7"/>
      <c r="D18" s="7"/>
      <c r="E18" s="69">
        <f>'概算（城关）'!F180</f>
        <v>25.1499835050742</v>
      </c>
      <c r="F18" s="71">
        <f t="shared" si="2"/>
        <v>25.1499835050742</v>
      </c>
    </row>
    <row r="19" ht="20" customHeight="1" spans="1:6">
      <c r="A19" s="67" t="s">
        <v>46</v>
      </c>
      <c r="B19" s="11" t="s">
        <v>124</v>
      </c>
      <c r="C19" s="7"/>
      <c r="D19" s="7"/>
      <c r="E19" s="69">
        <f>'概算（城关）'!F181</f>
        <v>13.7554703120231</v>
      </c>
      <c r="F19" s="71">
        <f t="shared" si="2"/>
        <v>13.7554703120231</v>
      </c>
    </row>
    <row r="20" ht="20" customHeight="1" spans="1:6">
      <c r="A20" s="67" t="s">
        <v>83</v>
      </c>
      <c r="B20" s="11" t="s">
        <v>125</v>
      </c>
      <c r="C20" s="7"/>
      <c r="D20" s="7"/>
      <c r="E20" s="69">
        <f>'概算（城关）'!F182</f>
        <v>28.542835398269</v>
      </c>
      <c r="F20" s="71">
        <f t="shared" si="2"/>
        <v>28.542835398269</v>
      </c>
    </row>
    <row r="21" ht="20" customHeight="1" spans="1:6">
      <c r="A21" s="67" t="s">
        <v>121</v>
      </c>
      <c r="B21" s="11" t="s">
        <v>126</v>
      </c>
      <c r="C21" s="7"/>
      <c r="D21" s="7"/>
      <c r="E21" s="69">
        <f>SUM(E22:E23)</f>
        <v>15.9175400306443</v>
      </c>
      <c r="F21" s="71">
        <f t="shared" si="2"/>
        <v>15.9175400306443</v>
      </c>
    </row>
    <row r="22" ht="20" customHeight="1" spans="1:6">
      <c r="A22" s="67">
        <v>1</v>
      </c>
      <c r="B22" s="11" t="s">
        <v>127</v>
      </c>
      <c r="C22" s="7"/>
      <c r="D22" s="7"/>
      <c r="E22" s="69">
        <f>'概算（城关）'!F186</f>
        <v>13.2646166922036</v>
      </c>
      <c r="F22" s="71">
        <f t="shared" si="2"/>
        <v>13.2646166922036</v>
      </c>
    </row>
    <row r="23" ht="20" customHeight="1" spans="1:6">
      <c r="A23" s="67">
        <v>2</v>
      </c>
      <c r="B23" s="11" t="s">
        <v>128</v>
      </c>
      <c r="C23" s="7"/>
      <c r="D23" s="7"/>
      <c r="E23" s="69">
        <f>'概算（城关）'!F187</f>
        <v>2.65292333844071</v>
      </c>
      <c r="F23" s="71">
        <f t="shared" si="2"/>
        <v>2.65292333844071</v>
      </c>
    </row>
    <row r="24" ht="20" customHeight="1" spans="1:6">
      <c r="A24" s="5" t="s">
        <v>90</v>
      </c>
      <c r="B24" s="5"/>
      <c r="C24" s="276">
        <f>C16+C17</f>
        <v>530.584667688143</v>
      </c>
      <c r="D24" s="276">
        <f>D16+D17</f>
        <v>23.8641170111584</v>
      </c>
      <c r="E24" s="276">
        <f>E16+E17</f>
        <v>83.3658292460104</v>
      </c>
      <c r="F24" s="509">
        <f t="shared" si="2"/>
        <v>637.814613945312</v>
      </c>
    </row>
    <row r="25" ht="20" customHeight="1" spans="1:6">
      <c r="A25" s="517"/>
      <c r="B25" s="391" t="s">
        <v>91</v>
      </c>
      <c r="C25" s="276"/>
      <c r="D25" s="518"/>
      <c r="E25" s="276"/>
      <c r="F25" s="276">
        <f>F24*0.03</f>
        <v>19.1344384183593</v>
      </c>
    </row>
    <row r="26" ht="20" customHeight="1" spans="1:6">
      <c r="A26" s="517" t="s">
        <v>92</v>
      </c>
      <c r="B26" s="391" t="s">
        <v>129</v>
      </c>
      <c r="C26" s="468"/>
      <c r="D26" s="468"/>
      <c r="E26" s="5"/>
      <c r="F26" s="276">
        <f>F24+F25</f>
        <v>656.949052363671</v>
      </c>
    </row>
    <row r="27" ht="20" customHeight="1" spans="1:6">
      <c r="A27" s="519" t="s">
        <v>94</v>
      </c>
      <c r="B27" s="520" t="s">
        <v>95</v>
      </c>
      <c r="C27" s="519"/>
      <c r="D27" s="519"/>
      <c r="E27" s="519"/>
      <c r="F27" s="276">
        <f>F28+F30+F32+F33</f>
        <v>18.41</v>
      </c>
    </row>
    <row r="28" ht="20" customHeight="1" spans="1:6">
      <c r="A28" s="521" t="s">
        <v>34</v>
      </c>
      <c r="B28" s="441" t="s">
        <v>130</v>
      </c>
      <c r="C28" s="519"/>
      <c r="D28" s="519"/>
      <c r="E28" s="519"/>
      <c r="F28" s="34">
        <v>7.8</v>
      </c>
    </row>
    <row r="29" ht="20" customHeight="1" spans="1:6">
      <c r="A29" s="521" t="s">
        <v>46</v>
      </c>
      <c r="B29" s="441" t="s">
        <v>131</v>
      </c>
      <c r="C29" s="519"/>
      <c r="D29" s="519"/>
      <c r="E29" s="519"/>
      <c r="F29" s="34"/>
    </row>
    <row r="30" ht="20" customHeight="1" spans="1:6">
      <c r="A30" s="521" t="s">
        <v>83</v>
      </c>
      <c r="B30" s="441" t="s">
        <v>132</v>
      </c>
      <c r="C30" s="519"/>
      <c r="D30" s="519"/>
      <c r="E30" s="519"/>
      <c r="F30" s="268">
        <v>0.87</v>
      </c>
    </row>
    <row r="31" ht="20" customHeight="1" spans="1:6">
      <c r="A31" s="519"/>
      <c r="B31" s="441" t="s">
        <v>133</v>
      </c>
      <c r="C31" s="519"/>
      <c r="D31" s="519"/>
      <c r="E31" s="519"/>
      <c r="F31" s="34">
        <v>0.23</v>
      </c>
    </row>
    <row r="32" ht="20" customHeight="1" spans="1:6">
      <c r="A32" s="246" t="s">
        <v>121</v>
      </c>
      <c r="B32" s="441" t="s">
        <v>134</v>
      </c>
      <c r="C32" s="519"/>
      <c r="D32" s="519"/>
      <c r="E32" s="519"/>
      <c r="F32" s="34">
        <v>0.87</v>
      </c>
    </row>
    <row r="33" ht="20" customHeight="1" spans="1:6">
      <c r="A33" s="246" t="s">
        <v>135</v>
      </c>
      <c r="B33" s="441" t="s">
        <v>136</v>
      </c>
      <c r="C33" s="519"/>
      <c r="D33" s="519"/>
      <c r="E33" s="519"/>
      <c r="F33" s="34">
        <v>8.87</v>
      </c>
    </row>
    <row r="34" ht="20" customHeight="1" spans="1:6">
      <c r="A34" s="519" t="s">
        <v>96</v>
      </c>
      <c r="B34" s="522" t="s">
        <v>99</v>
      </c>
      <c r="C34" s="519"/>
      <c r="D34" s="519"/>
      <c r="E34" s="519"/>
      <c r="F34" s="276">
        <f>F35+F36+F37+F38+F41</f>
        <v>15.72</v>
      </c>
    </row>
    <row r="35" ht="20" customHeight="1" spans="1:6">
      <c r="A35" s="519" t="s">
        <v>34</v>
      </c>
      <c r="B35" s="523" t="s">
        <v>137</v>
      </c>
      <c r="C35" s="519"/>
      <c r="D35" s="519"/>
      <c r="E35" s="519"/>
      <c r="F35" s="34">
        <v>3.43</v>
      </c>
    </row>
    <row r="36" ht="20" customHeight="1" spans="1:6">
      <c r="A36" s="519" t="s">
        <v>46</v>
      </c>
      <c r="B36" s="523" t="s">
        <v>138</v>
      </c>
      <c r="C36" s="519"/>
      <c r="D36" s="519"/>
      <c r="E36" s="519"/>
      <c r="F36" s="34">
        <v>2.11</v>
      </c>
    </row>
    <row r="37" ht="20" customHeight="1" spans="1:6">
      <c r="A37" s="519" t="s">
        <v>83</v>
      </c>
      <c r="B37" s="523" t="s">
        <v>139</v>
      </c>
      <c r="C37" s="519"/>
      <c r="D37" s="519"/>
      <c r="E37" s="519"/>
      <c r="F37" s="34">
        <v>1.31</v>
      </c>
    </row>
    <row r="38" ht="20" customHeight="1" spans="1:6">
      <c r="A38" s="246" t="s">
        <v>121</v>
      </c>
      <c r="B38" s="523" t="s">
        <v>140</v>
      </c>
      <c r="C38" s="519"/>
      <c r="D38" s="519"/>
      <c r="E38" s="519"/>
      <c r="F38" s="34">
        <v>8.41</v>
      </c>
    </row>
    <row r="39" ht="20" customHeight="1" spans="1:6">
      <c r="A39" s="519"/>
      <c r="B39" s="461" t="s">
        <v>141</v>
      </c>
      <c r="C39" s="519"/>
      <c r="D39" s="519"/>
      <c r="E39" s="519"/>
      <c r="F39" s="34">
        <v>3</v>
      </c>
    </row>
    <row r="40" ht="20" customHeight="1" spans="1:6">
      <c r="A40" s="519"/>
      <c r="B40" s="461" t="s">
        <v>142</v>
      </c>
      <c r="C40" s="519"/>
      <c r="D40" s="519"/>
      <c r="E40" s="519"/>
      <c r="F40" s="34">
        <v>0.27</v>
      </c>
    </row>
    <row r="41" ht="20" customHeight="1" spans="1:6">
      <c r="A41" s="246" t="s">
        <v>135</v>
      </c>
      <c r="B41" s="523" t="s">
        <v>91</v>
      </c>
      <c r="C41" s="519"/>
      <c r="D41" s="519"/>
      <c r="E41" s="519"/>
      <c r="F41" s="34">
        <v>0.46</v>
      </c>
    </row>
    <row r="42" ht="20" customHeight="1" spans="1:6">
      <c r="A42" s="246" t="s">
        <v>143</v>
      </c>
      <c r="B42" s="441" t="s">
        <v>144</v>
      </c>
      <c r="C42" s="519"/>
      <c r="D42" s="519"/>
      <c r="E42" s="519"/>
      <c r="F42" s="34"/>
    </row>
    <row r="43" ht="20" customHeight="1" spans="1:6">
      <c r="A43" s="519" t="s">
        <v>98</v>
      </c>
      <c r="B43" s="522" t="s">
        <v>101</v>
      </c>
      <c r="C43" s="519"/>
      <c r="D43" s="519"/>
      <c r="E43" s="519"/>
      <c r="F43" s="276">
        <f>F45+F46+F47+F49</f>
        <v>19.63</v>
      </c>
    </row>
    <row r="44" ht="20" customHeight="1" spans="1:6">
      <c r="A44" s="524" t="s">
        <v>34</v>
      </c>
      <c r="B44" s="525" t="s">
        <v>145</v>
      </c>
      <c r="C44" s="519"/>
      <c r="D44" s="519"/>
      <c r="E44" s="519"/>
      <c r="F44" s="34"/>
    </row>
    <row r="45" ht="20" customHeight="1" spans="1:6">
      <c r="A45" s="524" t="s">
        <v>46</v>
      </c>
      <c r="B45" s="525" t="s">
        <v>146</v>
      </c>
      <c r="C45" s="519"/>
      <c r="D45" s="519"/>
      <c r="E45" s="519"/>
      <c r="F45" s="34">
        <v>0.4</v>
      </c>
    </row>
    <row r="46" ht="20" customHeight="1" spans="1:6">
      <c r="A46" s="524" t="s">
        <v>83</v>
      </c>
      <c r="B46" s="525" t="s">
        <v>147</v>
      </c>
      <c r="C46" s="519"/>
      <c r="D46" s="519"/>
      <c r="E46" s="519"/>
      <c r="F46" s="34">
        <v>12.55</v>
      </c>
    </row>
    <row r="47" ht="20" customHeight="1" spans="1:6">
      <c r="A47" s="524" t="s">
        <v>121</v>
      </c>
      <c r="B47" s="525" t="s">
        <v>148</v>
      </c>
      <c r="C47" s="519"/>
      <c r="D47" s="519"/>
      <c r="E47" s="519"/>
      <c r="F47" s="34">
        <v>5.75</v>
      </c>
    </row>
    <row r="48" ht="20" customHeight="1" spans="1:6">
      <c r="A48" s="524"/>
      <c r="B48" s="525" t="s">
        <v>149</v>
      </c>
      <c r="C48" s="519"/>
      <c r="D48" s="519"/>
      <c r="E48" s="519"/>
      <c r="F48" s="34">
        <v>3.39</v>
      </c>
    </row>
    <row r="49" ht="20" customHeight="1" spans="1:6">
      <c r="A49" s="524" t="s">
        <v>135</v>
      </c>
      <c r="B49" s="525" t="s">
        <v>91</v>
      </c>
      <c r="C49" s="519"/>
      <c r="D49" s="519"/>
      <c r="E49" s="519"/>
      <c r="F49" s="34">
        <v>0.93</v>
      </c>
    </row>
    <row r="50" ht="20" customHeight="1" spans="1:6">
      <c r="A50" s="5" t="s">
        <v>100</v>
      </c>
      <c r="B50" s="520" t="s">
        <v>97</v>
      </c>
      <c r="C50" s="519"/>
      <c r="D50" s="519"/>
      <c r="E50" s="519"/>
      <c r="F50" s="276">
        <f>F52+F54+F56</f>
        <v>3.15</v>
      </c>
    </row>
    <row r="51" ht="20" customHeight="1" spans="1:6">
      <c r="A51" s="524" t="s">
        <v>34</v>
      </c>
      <c r="B51" s="525" t="s">
        <v>150</v>
      </c>
      <c r="C51" s="519"/>
      <c r="D51" s="519"/>
      <c r="E51" s="519"/>
      <c r="F51" s="34"/>
    </row>
    <row r="52" ht="20" customHeight="1" spans="1:6">
      <c r="A52" s="524" t="s">
        <v>46</v>
      </c>
      <c r="B52" s="525" t="s">
        <v>151</v>
      </c>
      <c r="C52" s="519"/>
      <c r="D52" s="519"/>
      <c r="E52" s="519"/>
      <c r="F52" s="34">
        <v>2.7</v>
      </c>
    </row>
    <row r="53" ht="20" customHeight="1" spans="1:6">
      <c r="A53" s="7" t="s">
        <v>83</v>
      </c>
      <c r="B53" s="11" t="s">
        <v>152</v>
      </c>
      <c r="C53" s="519"/>
      <c r="D53" s="519"/>
      <c r="E53" s="519"/>
      <c r="F53" s="34"/>
    </row>
    <row r="54" ht="20" customHeight="1" spans="1:6">
      <c r="A54" s="7" t="s">
        <v>121</v>
      </c>
      <c r="B54" s="11" t="s">
        <v>153</v>
      </c>
      <c r="C54" s="519"/>
      <c r="D54" s="519"/>
      <c r="E54" s="519"/>
      <c r="F54" s="34">
        <v>0.39</v>
      </c>
    </row>
    <row r="55" ht="20" customHeight="1" spans="1:6">
      <c r="A55" s="7"/>
      <c r="B55" s="11" t="s">
        <v>154</v>
      </c>
      <c r="C55" s="519"/>
      <c r="D55" s="519"/>
      <c r="E55" s="519"/>
      <c r="F55" s="34">
        <v>0.25</v>
      </c>
    </row>
    <row r="56" ht="20" customHeight="1" spans="1:6">
      <c r="A56" s="7" t="s">
        <v>135</v>
      </c>
      <c r="B56" s="11" t="s">
        <v>155</v>
      </c>
      <c r="C56" s="519"/>
      <c r="D56" s="519"/>
      <c r="E56" s="519"/>
      <c r="F56" s="34">
        <v>0.06</v>
      </c>
    </row>
    <row r="57" ht="20" customHeight="1" spans="1:6">
      <c r="A57" s="526"/>
      <c r="B57" s="522" t="s">
        <v>156</v>
      </c>
      <c r="C57" s="519"/>
      <c r="D57" s="519"/>
      <c r="E57" s="519"/>
      <c r="F57" s="527">
        <f>F26+F27+F34+F43+F50</f>
        <v>713.859052363671</v>
      </c>
    </row>
    <row r="58" ht="20" customHeight="1"/>
  </sheetData>
  <mergeCells count="9">
    <mergeCell ref="A1:F1"/>
    <mergeCell ref="A4:B4"/>
    <mergeCell ref="A9:B9"/>
    <mergeCell ref="A13:B13"/>
    <mergeCell ref="A14:B14"/>
    <mergeCell ref="A15:B15"/>
    <mergeCell ref="A16:B16"/>
    <mergeCell ref="A17:B17"/>
    <mergeCell ref="A24:B24"/>
  </mergeCells>
  <pageMargins left="0.751388888888889" right="0.751388888888889" top="1" bottom="1" header="0.5" footer="0.5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66FF"/>
  </sheetPr>
  <dimension ref="A1:G189"/>
  <sheetViews>
    <sheetView zoomScale="110" zoomScaleNormal="110" topLeftCell="A139" workbookViewId="0">
      <selection activeCell="I61" sqref="I61"/>
    </sheetView>
  </sheetViews>
  <sheetFormatPr defaultColWidth="9" defaultRowHeight="14.25" outlineLevelCol="6"/>
  <cols>
    <col min="1" max="1" width="7.75" style="229" customWidth="1"/>
    <col min="2" max="2" width="32.875" style="323" customWidth="1"/>
    <col min="3" max="3" width="7.375" style="229" customWidth="1"/>
    <col min="4" max="4" width="11.125" style="387" customWidth="1"/>
    <col min="5" max="5" width="10.875" style="387" customWidth="1"/>
    <col min="6" max="6" width="11.875" style="387" customWidth="1"/>
    <col min="7" max="7" width="10.75" style="387" customWidth="1"/>
  </cols>
  <sheetData>
    <row r="1" ht="20" customHeight="1" spans="1:7">
      <c r="A1" s="428" t="s">
        <v>607</v>
      </c>
      <c r="B1" s="428"/>
      <c r="C1" s="428"/>
      <c r="D1" s="428"/>
      <c r="E1" s="428"/>
      <c r="F1" s="428"/>
      <c r="G1" s="429"/>
    </row>
    <row r="2" ht="20" customHeight="1" spans="1:7">
      <c r="A2" s="428"/>
      <c r="B2" s="428"/>
      <c r="C2" s="428"/>
      <c r="D2" s="428"/>
      <c r="E2" s="428"/>
      <c r="F2" s="428"/>
      <c r="G2" s="429"/>
    </row>
    <row r="3" ht="20" customHeight="1" spans="1:7">
      <c r="A3" s="430"/>
      <c r="B3" s="430"/>
      <c r="C3" s="430"/>
      <c r="D3" s="430"/>
      <c r="E3" s="430"/>
      <c r="F3" s="430"/>
      <c r="G3" s="429"/>
    </row>
    <row r="4" ht="20" customHeight="1" spans="1:7">
      <c r="A4" s="107" t="s">
        <v>158</v>
      </c>
      <c r="B4" s="107" t="s">
        <v>72</v>
      </c>
      <c r="C4" s="107" t="s">
        <v>159</v>
      </c>
      <c r="D4" s="107" t="s">
        <v>160</v>
      </c>
      <c r="E4" s="107" t="s">
        <v>161</v>
      </c>
      <c r="F4" s="107" t="s">
        <v>162</v>
      </c>
      <c r="G4" s="431"/>
    </row>
    <row r="5" ht="20" customHeight="1" spans="1:7">
      <c r="A5" s="432"/>
      <c r="B5" s="433" t="s">
        <v>77</v>
      </c>
      <c r="C5" s="432"/>
      <c r="D5" s="432"/>
      <c r="E5" s="432"/>
      <c r="F5" s="434">
        <f>F6</f>
        <v>4996606.54102956</v>
      </c>
      <c r="G5" s="435">
        <f>SUM(G7:G153)</f>
        <v>4996606.54102956</v>
      </c>
    </row>
    <row r="6" ht="20" customHeight="1" spans="1:7">
      <c r="A6" s="432"/>
      <c r="B6" s="436" t="s">
        <v>163</v>
      </c>
      <c r="C6" s="432"/>
      <c r="D6" s="432"/>
      <c r="E6" s="432"/>
      <c r="F6" s="434">
        <f>F7+F41+F43+F60</f>
        <v>4996606.54102956</v>
      </c>
      <c r="G6" s="435"/>
    </row>
    <row r="7" ht="20" customHeight="1" spans="1:7">
      <c r="A7" s="432" t="s">
        <v>34</v>
      </c>
      <c r="B7" s="433" t="s">
        <v>164</v>
      </c>
      <c r="C7" s="432"/>
      <c r="D7" s="432"/>
      <c r="E7" s="432"/>
      <c r="F7" s="434">
        <f>F8</f>
        <v>289526.218950621</v>
      </c>
      <c r="G7" s="435"/>
    </row>
    <row r="8" ht="20" customHeight="1" spans="1:7">
      <c r="A8" s="107">
        <v>1</v>
      </c>
      <c r="B8" s="371" t="s">
        <v>179</v>
      </c>
      <c r="C8" s="107"/>
      <c r="D8" s="425"/>
      <c r="E8" s="425"/>
      <c r="F8" s="426">
        <f>F9</f>
        <v>289526.218950621</v>
      </c>
      <c r="G8" s="437">
        <f>D8*E8</f>
        <v>0</v>
      </c>
    </row>
    <row r="9" ht="20" customHeight="1" spans="1:7">
      <c r="A9" s="107">
        <v>1.1</v>
      </c>
      <c r="B9" s="371" t="s">
        <v>188</v>
      </c>
      <c r="C9" s="107"/>
      <c r="D9" s="443"/>
      <c r="E9" s="425"/>
      <c r="F9" s="426">
        <f>F10+F23</f>
        <v>289526.218950621</v>
      </c>
      <c r="G9" s="437">
        <f t="shared" ref="G9:G44" si="0">D9*E9</f>
        <v>0</v>
      </c>
    </row>
    <row r="10" ht="20" customHeight="1" spans="1:7">
      <c r="A10" s="107" t="s">
        <v>250</v>
      </c>
      <c r="B10" s="371" t="s">
        <v>190</v>
      </c>
      <c r="C10" s="107"/>
      <c r="D10" s="443"/>
      <c r="E10" s="425"/>
      <c r="F10" s="426">
        <f>F11</f>
        <v>55651.3063832391</v>
      </c>
      <c r="G10" s="437">
        <f t="shared" si="0"/>
        <v>0</v>
      </c>
    </row>
    <row r="11" ht="20" customHeight="1" spans="1:7">
      <c r="A11" s="107" t="s">
        <v>608</v>
      </c>
      <c r="B11" s="371" t="s">
        <v>192</v>
      </c>
      <c r="C11" s="107" t="s">
        <v>193</v>
      </c>
      <c r="D11" s="443">
        <v>1</v>
      </c>
      <c r="E11" s="425"/>
      <c r="F11" s="426">
        <f>SUM(F12:F22)</f>
        <v>55651.3063832391</v>
      </c>
      <c r="G11" s="437">
        <f t="shared" si="0"/>
        <v>0</v>
      </c>
    </row>
    <row r="12" ht="20" customHeight="1" spans="1:7">
      <c r="A12" s="107"/>
      <c r="B12" s="11" t="s">
        <v>168</v>
      </c>
      <c r="C12" s="7" t="s">
        <v>169</v>
      </c>
      <c r="D12" s="455">
        <f>304.5/2</f>
        <v>152.25</v>
      </c>
      <c r="E12" s="425">
        <f>单价汇总表!D8/100+单价汇总表!D10/100*0.55</f>
        <v>5.59741698768687</v>
      </c>
      <c r="F12" s="426">
        <f t="shared" ref="F12:F22" si="1">D12*E12</f>
        <v>852.206736375326</v>
      </c>
      <c r="G12" s="437">
        <f t="shared" si="0"/>
        <v>852.206736375326</v>
      </c>
    </row>
    <row r="13" ht="20" customHeight="1" spans="1:7">
      <c r="A13" s="107"/>
      <c r="B13" s="11" t="s">
        <v>194</v>
      </c>
      <c r="C13" s="7" t="s">
        <v>169</v>
      </c>
      <c r="D13" s="455">
        <f>151.2/2</f>
        <v>75.6</v>
      </c>
      <c r="E13" s="425">
        <f>单价汇总表!D34/100*0.5+单价汇总表!D35/100*0.5</f>
        <v>13.9556177229579</v>
      </c>
      <c r="F13" s="426">
        <f t="shared" si="1"/>
        <v>1055.04469985562</v>
      </c>
      <c r="G13" s="437">
        <f t="shared" si="0"/>
        <v>1055.04469985562</v>
      </c>
    </row>
    <row r="14" ht="20" customHeight="1" spans="1:7">
      <c r="A14" s="107"/>
      <c r="B14" s="11" t="s">
        <v>195</v>
      </c>
      <c r="C14" s="7" t="s">
        <v>169</v>
      </c>
      <c r="D14" s="455">
        <f>46.788/2</f>
        <v>23.394</v>
      </c>
      <c r="E14" s="425">
        <f>单价汇总表!D39/100</f>
        <v>339.924364001393</v>
      </c>
      <c r="F14" s="426">
        <f t="shared" si="1"/>
        <v>7952.19057144859</v>
      </c>
      <c r="G14" s="437">
        <f t="shared" si="0"/>
        <v>7952.19057144859</v>
      </c>
    </row>
    <row r="15" ht="20" customHeight="1" spans="1:7">
      <c r="A15" s="107"/>
      <c r="B15" s="11" t="s">
        <v>196</v>
      </c>
      <c r="C15" s="7" t="s">
        <v>169</v>
      </c>
      <c r="D15" s="455">
        <f>133.8666/2</f>
        <v>66.9333</v>
      </c>
      <c r="E15" s="425">
        <f>单价汇总表!D42/100</f>
        <v>334.4306984649</v>
      </c>
      <c r="F15" s="426">
        <f t="shared" si="1"/>
        <v>22384.5502695607</v>
      </c>
      <c r="G15" s="437">
        <f t="shared" si="0"/>
        <v>22384.5502695607</v>
      </c>
    </row>
    <row r="16" ht="20" customHeight="1" spans="1:7">
      <c r="A16" s="107"/>
      <c r="B16" s="11" t="s">
        <v>197</v>
      </c>
      <c r="C16" s="7" t="s">
        <v>169</v>
      </c>
      <c r="D16" s="455">
        <f>17.64/2</f>
        <v>8.82</v>
      </c>
      <c r="E16" s="425">
        <f>单价汇总表!D83/100</f>
        <v>648.095065697824</v>
      </c>
      <c r="F16" s="426">
        <f t="shared" si="1"/>
        <v>5716.19847945481</v>
      </c>
      <c r="G16" s="437">
        <f t="shared" si="0"/>
        <v>5716.19847945481</v>
      </c>
    </row>
    <row r="17" ht="20" customHeight="1" spans="1:7">
      <c r="A17" s="107"/>
      <c r="B17" s="11" t="s">
        <v>198</v>
      </c>
      <c r="C17" s="7" t="s">
        <v>169</v>
      </c>
      <c r="D17" s="455">
        <f>3.7044/2</f>
        <v>1.8522</v>
      </c>
      <c r="E17" s="425">
        <f>单价汇总表!D106/100</f>
        <v>528.027088954994</v>
      </c>
      <c r="F17" s="426">
        <f t="shared" si="1"/>
        <v>978.01177416244</v>
      </c>
      <c r="G17" s="437">
        <f t="shared" si="0"/>
        <v>978.01177416244</v>
      </c>
    </row>
    <row r="18" ht="20" customHeight="1" spans="1:7">
      <c r="A18" s="107"/>
      <c r="B18" s="11" t="s">
        <v>199</v>
      </c>
      <c r="C18" s="459" t="s">
        <v>200</v>
      </c>
      <c r="D18" s="455">
        <f>0.383229/2</f>
        <v>0.1916145</v>
      </c>
      <c r="E18" s="425">
        <f>单价汇总表!D49</f>
        <v>6774.28452813344</v>
      </c>
      <c r="F18" s="426">
        <f t="shared" si="1"/>
        <v>1298.05114271602</v>
      </c>
      <c r="G18" s="437">
        <f t="shared" si="0"/>
        <v>1298.05114271602</v>
      </c>
    </row>
    <row r="19" ht="20" customHeight="1" spans="1:7">
      <c r="A19" s="107"/>
      <c r="B19" s="406" t="s">
        <v>201</v>
      </c>
      <c r="C19" s="528" t="s">
        <v>167</v>
      </c>
      <c r="D19" s="455">
        <f>18/2</f>
        <v>9</v>
      </c>
      <c r="E19" s="425">
        <f>单价汇总表!D53/100</f>
        <v>831.726181406453</v>
      </c>
      <c r="F19" s="426">
        <f t="shared" si="1"/>
        <v>7485.53563265808</v>
      </c>
      <c r="G19" s="437">
        <f t="shared" si="0"/>
        <v>7485.53563265808</v>
      </c>
    </row>
    <row r="20" ht="20" customHeight="1" spans="1:7">
      <c r="A20" s="107"/>
      <c r="B20" s="11" t="s">
        <v>202</v>
      </c>
      <c r="C20" s="7" t="s">
        <v>169</v>
      </c>
      <c r="D20" s="455">
        <f>13.23/2</f>
        <v>6.615</v>
      </c>
      <c r="E20" s="425">
        <f>单价汇总表!D93/100</f>
        <v>622.020604189982</v>
      </c>
      <c r="F20" s="426">
        <f t="shared" si="1"/>
        <v>4114.66629671673</v>
      </c>
      <c r="G20" s="437">
        <f t="shared" si="0"/>
        <v>4114.66629671673</v>
      </c>
    </row>
    <row r="21" ht="20" customHeight="1" spans="1:7">
      <c r="A21" s="107"/>
      <c r="B21" s="366" t="s">
        <v>596</v>
      </c>
      <c r="C21" s="384" t="s">
        <v>169</v>
      </c>
      <c r="D21" s="455">
        <f>21.168/2</f>
        <v>10.584</v>
      </c>
      <c r="E21" s="425">
        <f>单价汇总表!D44/100</f>
        <v>318.631333832418</v>
      </c>
      <c r="F21" s="426">
        <f t="shared" si="1"/>
        <v>3372.39403728231</v>
      </c>
      <c r="G21" s="437">
        <f t="shared" si="0"/>
        <v>3372.39403728231</v>
      </c>
    </row>
    <row r="22" ht="20" customHeight="1" spans="1:7">
      <c r="A22" s="107"/>
      <c r="B22" s="453" t="s">
        <v>204</v>
      </c>
      <c r="C22" s="454" t="s">
        <v>169</v>
      </c>
      <c r="D22" s="443">
        <f>D16+D17+D20</f>
        <v>17.2872</v>
      </c>
      <c r="E22" s="425">
        <f>单价汇总表!D143</f>
        <v>25.59447122776</v>
      </c>
      <c r="F22" s="426">
        <f t="shared" si="1"/>
        <v>442.456743008533</v>
      </c>
      <c r="G22" s="437">
        <f t="shared" si="0"/>
        <v>442.456743008533</v>
      </c>
    </row>
    <row r="23" ht="20" customHeight="1" spans="1:7">
      <c r="A23" s="107" t="s">
        <v>257</v>
      </c>
      <c r="B23" s="371" t="s">
        <v>216</v>
      </c>
      <c r="C23" s="107"/>
      <c r="D23" s="443"/>
      <c r="E23" s="425"/>
      <c r="F23" s="426">
        <f>F24+F34</f>
        <v>233874.912567382</v>
      </c>
      <c r="G23" s="437">
        <f t="shared" si="0"/>
        <v>0</v>
      </c>
    </row>
    <row r="24" ht="20" customHeight="1" spans="1:7">
      <c r="A24" s="107" t="s">
        <v>609</v>
      </c>
      <c r="B24" s="371" t="s">
        <v>218</v>
      </c>
      <c r="C24" s="107" t="s">
        <v>193</v>
      </c>
      <c r="D24" s="455">
        <v>8</v>
      </c>
      <c r="E24" s="425"/>
      <c r="F24" s="426">
        <f>SUM(F25:F33)</f>
        <v>193240.082467641</v>
      </c>
      <c r="G24" s="437">
        <f t="shared" si="0"/>
        <v>0</v>
      </c>
    </row>
    <row r="25" ht="20" customHeight="1" spans="1:7">
      <c r="A25" s="107"/>
      <c r="B25" s="11" t="s">
        <v>168</v>
      </c>
      <c r="C25" s="7" t="s">
        <v>169</v>
      </c>
      <c r="D25" s="455">
        <f>354.375/16*8</f>
        <v>177.1875</v>
      </c>
      <c r="E25" s="425">
        <f>E12</f>
        <v>5.59741698768687</v>
      </c>
      <c r="F25" s="426">
        <f t="shared" ref="F25:F33" si="2">D25*E25</f>
        <v>991.792322505767</v>
      </c>
      <c r="G25" s="437">
        <f t="shared" si="0"/>
        <v>991.792322505767</v>
      </c>
    </row>
    <row r="26" ht="20" customHeight="1" spans="1:7">
      <c r="A26" s="107"/>
      <c r="B26" s="11" t="s">
        <v>194</v>
      </c>
      <c r="C26" s="7" t="s">
        <v>169</v>
      </c>
      <c r="D26" s="455">
        <f>176.526/16*8</f>
        <v>88.263</v>
      </c>
      <c r="E26" s="425">
        <f>E13</f>
        <v>13.9556177229579</v>
      </c>
      <c r="F26" s="426">
        <f t="shared" si="2"/>
        <v>1231.76468708143</v>
      </c>
      <c r="G26" s="437">
        <f t="shared" si="0"/>
        <v>1231.76468708143</v>
      </c>
    </row>
    <row r="27" ht="20" customHeight="1" spans="1:7">
      <c r="A27" s="107"/>
      <c r="B27" s="11" t="s">
        <v>219</v>
      </c>
      <c r="C27" s="7" t="s">
        <v>169</v>
      </c>
      <c r="D27" s="455">
        <f>389.76/16*8</f>
        <v>194.88</v>
      </c>
      <c r="E27" s="425">
        <f>单价汇总表!D126/100+单价汇总表!D26/100</f>
        <v>39.6035815993351</v>
      </c>
      <c r="F27" s="426">
        <f t="shared" si="2"/>
        <v>7717.94598207842</v>
      </c>
      <c r="G27" s="437">
        <f t="shared" si="0"/>
        <v>7717.94598207842</v>
      </c>
    </row>
    <row r="28" ht="20" customHeight="1" spans="1:7">
      <c r="A28" s="107"/>
      <c r="B28" s="11" t="s">
        <v>195</v>
      </c>
      <c r="C28" s="7" t="s">
        <v>169</v>
      </c>
      <c r="D28" s="455">
        <f>374.304/16*8</f>
        <v>187.152</v>
      </c>
      <c r="E28" s="425">
        <f>单价汇总表!D39/100</f>
        <v>339.924364001393</v>
      </c>
      <c r="F28" s="426">
        <f t="shared" si="2"/>
        <v>63617.5245715887</v>
      </c>
      <c r="G28" s="437">
        <f t="shared" si="0"/>
        <v>63617.5245715887</v>
      </c>
    </row>
    <row r="29" ht="20" customHeight="1" spans="1:7">
      <c r="A29" s="107"/>
      <c r="B29" s="11" t="s">
        <v>213</v>
      </c>
      <c r="C29" s="7" t="s">
        <v>169</v>
      </c>
      <c r="D29" s="455">
        <f>487.2/16*8</f>
        <v>243.6</v>
      </c>
      <c r="E29" s="425">
        <f>单价汇总表!D42/100</f>
        <v>334.4306984649</v>
      </c>
      <c r="F29" s="426">
        <f t="shared" si="2"/>
        <v>81467.3181460496</v>
      </c>
      <c r="G29" s="437">
        <f t="shared" si="0"/>
        <v>81467.3181460496</v>
      </c>
    </row>
    <row r="30" ht="20" customHeight="1" spans="1:7">
      <c r="A30" s="107"/>
      <c r="B30" s="11" t="s">
        <v>197</v>
      </c>
      <c r="C30" s="7" t="s">
        <v>169</v>
      </c>
      <c r="D30" s="455">
        <f>82.32/16*8</f>
        <v>41.16</v>
      </c>
      <c r="E30" s="425">
        <f>E16</f>
        <v>648.095065697824</v>
      </c>
      <c r="F30" s="426">
        <f t="shared" si="2"/>
        <v>26675.5929041224</v>
      </c>
      <c r="G30" s="437">
        <f t="shared" si="0"/>
        <v>26675.5929041224</v>
      </c>
    </row>
    <row r="31" ht="20" customHeight="1" spans="1:7">
      <c r="A31" s="107"/>
      <c r="B31" s="11" t="s">
        <v>220</v>
      </c>
      <c r="C31" s="7" t="s">
        <v>169</v>
      </c>
      <c r="D31" s="455">
        <f>14.8176/16*8</f>
        <v>7.4088</v>
      </c>
      <c r="E31" s="425">
        <f>单价汇总表!D108/100</f>
        <v>571.952151590819</v>
      </c>
      <c r="F31" s="426">
        <f t="shared" si="2"/>
        <v>4237.47910070606</v>
      </c>
      <c r="G31" s="437">
        <f t="shared" si="0"/>
        <v>4237.47910070606</v>
      </c>
    </row>
    <row r="32" ht="20" customHeight="1" spans="1:7">
      <c r="A32" s="107"/>
      <c r="B32" s="11" t="s">
        <v>199</v>
      </c>
      <c r="C32" s="459" t="s">
        <v>200</v>
      </c>
      <c r="D32" s="455">
        <f>1.788402/16*8</f>
        <v>0.894201</v>
      </c>
      <c r="E32" s="425">
        <f>E18</f>
        <v>6774.28452813344</v>
      </c>
      <c r="F32" s="426">
        <f t="shared" si="2"/>
        <v>6057.57199934145</v>
      </c>
      <c r="G32" s="437">
        <f t="shared" si="0"/>
        <v>6057.57199934145</v>
      </c>
    </row>
    <row r="33" ht="20" customHeight="1" spans="1:7">
      <c r="A33" s="107"/>
      <c r="B33" s="453" t="s">
        <v>204</v>
      </c>
      <c r="C33" s="454" t="s">
        <v>169</v>
      </c>
      <c r="D33" s="443">
        <f>D30+D31</f>
        <v>48.5688</v>
      </c>
      <c r="E33" s="425">
        <f>E22</f>
        <v>25.59447122776</v>
      </c>
      <c r="F33" s="426">
        <f t="shared" si="2"/>
        <v>1243.09275416683</v>
      </c>
      <c r="G33" s="437">
        <f t="shared" si="0"/>
        <v>1243.09275416683</v>
      </c>
    </row>
    <row r="34" ht="20" customHeight="1" spans="1:7">
      <c r="A34" s="7" t="s">
        <v>610</v>
      </c>
      <c r="B34" s="371" t="s">
        <v>225</v>
      </c>
      <c r="C34" s="107" t="s">
        <v>193</v>
      </c>
      <c r="D34" s="443">
        <v>4</v>
      </c>
      <c r="E34" s="425"/>
      <c r="F34" s="426">
        <f>SUM(F35:F40)</f>
        <v>40634.8300997416</v>
      </c>
      <c r="G34" s="437">
        <f t="shared" ref="G34:G75" si="3">D34*E34</f>
        <v>0</v>
      </c>
    </row>
    <row r="35" ht="20" customHeight="1" spans="1:7">
      <c r="A35" s="8"/>
      <c r="B35" s="11" t="s">
        <v>168</v>
      </c>
      <c r="C35" s="7" t="s">
        <v>169</v>
      </c>
      <c r="D35" s="443">
        <f>379.31/23*D34</f>
        <v>65.9669565217391</v>
      </c>
      <c r="E35" s="425">
        <f>'概算（姚伏）'!E34</f>
        <v>5.59741698768686</v>
      </c>
      <c r="F35" s="426">
        <f t="shared" ref="F35:F40" si="4">D35*E35</f>
        <v>369.244563060783</v>
      </c>
      <c r="G35" s="437">
        <f t="shared" si="3"/>
        <v>369.244563060783</v>
      </c>
    </row>
    <row r="36" ht="20" customHeight="1" spans="1:7">
      <c r="A36" s="8"/>
      <c r="B36" s="11" t="s">
        <v>170</v>
      </c>
      <c r="C36" s="7" t="s">
        <v>169</v>
      </c>
      <c r="D36" s="443">
        <f>211.19/23*D34</f>
        <v>36.7286956521739</v>
      </c>
      <c r="E36" s="425">
        <f>'概算（姚伏）'!E35</f>
        <v>13.9556177229579</v>
      </c>
      <c r="F36" s="426">
        <f t="shared" si="4"/>
        <v>512.571635984605</v>
      </c>
      <c r="G36" s="437">
        <f t="shared" si="3"/>
        <v>512.571635984605</v>
      </c>
    </row>
    <row r="37" ht="20" customHeight="1" spans="1:7">
      <c r="A37" s="8"/>
      <c r="B37" s="11" t="s">
        <v>219</v>
      </c>
      <c r="C37" s="7" t="s">
        <v>169</v>
      </c>
      <c r="D37" s="443">
        <f>216.38/23*D34</f>
        <v>37.6313043478261</v>
      </c>
      <c r="E37" s="425">
        <f>'概算（姚伏）'!E36</f>
        <v>39.603581599335</v>
      </c>
      <c r="F37" s="426">
        <f t="shared" si="4"/>
        <v>1490.33443242854</v>
      </c>
      <c r="G37" s="437">
        <f t="shared" si="3"/>
        <v>1490.33443242854</v>
      </c>
    </row>
    <row r="38" ht="20" customHeight="1" spans="1:7">
      <c r="A38" s="8"/>
      <c r="B38" s="11" t="s">
        <v>226</v>
      </c>
      <c r="C38" s="7" t="s">
        <v>169</v>
      </c>
      <c r="D38" s="443">
        <f>336.23/23*D34</f>
        <v>58.4747826086957</v>
      </c>
      <c r="E38" s="425">
        <f>'概算（姚伏）'!E37</f>
        <v>334.4306984649</v>
      </c>
      <c r="F38" s="426">
        <f t="shared" si="4"/>
        <v>19555.7623904093</v>
      </c>
      <c r="G38" s="437">
        <f t="shared" si="3"/>
        <v>19555.7623904093</v>
      </c>
    </row>
    <row r="39" ht="20" customHeight="1" spans="1:7">
      <c r="A39" s="8"/>
      <c r="B39" s="11" t="s">
        <v>227</v>
      </c>
      <c r="C39" s="7" t="s">
        <v>169</v>
      </c>
      <c r="D39" s="443">
        <f>135.24/23*D34</f>
        <v>23.52</v>
      </c>
      <c r="E39" s="425">
        <f>'概算（姚伏）'!E38</f>
        <v>648.095065697824</v>
      </c>
      <c r="F39" s="426">
        <f t="shared" si="4"/>
        <v>15243.1959452128</v>
      </c>
      <c r="G39" s="437">
        <f t="shared" si="3"/>
        <v>15243.1959452128</v>
      </c>
    </row>
    <row r="40" ht="20" customHeight="1" spans="1:7">
      <c r="A40" s="8"/>
      <c r="B40" s="11" t="s">
        <v>199</v>
      </c>
      <c r="C40" s="459" t="s">
        <v>200</v>
      </c>
      <c r="D40" s="443">
        <f>2.94/23*D34</f>
        <v>0.511304347826087</v>
      </c>
      <c r="E40" s="425">
        <f>'概算（姚伏）'!E39</f>
        <v>6774.28452813344</v>
      </c>
      <c r="F40" s="426">
        <f t="shared" si="4"/>
        <v>3463.72113264562</v>
      </c>
      <c r="G40" s="437">
        <f t="shared" si="3"/>
        <v>3463.72113264562</v>
      </c>
    </row>
    <row r="41" ht="20" customHeight="1" spans="1:7">
      <c r="A41" s="432" t="s">
        <v>46</v>
      </c>
      <c r="B41" s="433" t="s">
        <v>228</v>
      </c>
      <c r="C41" s="432" t="s">
        <v>229</v>
      </c>
      <c r="D41" s="463">
        <v>14.8</v>
      </c>
      <c r="E41" s="464"/>
      <c r="F41" s="434">
        <f>F42</f>
        <v>1534739.34986213</v>
      </c>
      <c r="G41" s="437">
        <f t="shared" si="3"/>
        <v>0</v>
      </c>
    </row>
    <row r="42" ht="20" customHeight="1" spans="1:7">
      <c r="A42" s="107"/>
      <c r="B42" s="371" t="s">
        <v>230</v>
      </c>
      <c r="C42" s="107" t="s">
        <v>169</v>
      </c>
      <c r="D42" s="443">
        <v>57777.83</v>
      </c>
      <c r="E42" s="425">
        <f>新定额单价!$F$339/100+0.77*1.55*5*1.09</f>
        <v>26.5627724312618</v>
      </c>
      <c r="F42" s="426">
        <f t="shared" ref="F42:F47" si="5">D42*E42</f>
        <v>1534739.34986213</v>
      </c>
      <c r="G42" s="437">
        <f t="shared" si="3"/>
        <v>1534739.34986213</v>
      </c>
    </row>
    <row r="43" ht="20" customHeight="1" spans="1:7">
      <c r="A43" s="432" t="s">
        <v>83</v>
      </c>
      <c r="B43" s="433" t="s">
        <v>231</v>
      </c>
      <c r="C43" s="432"/>
      <c r="D43" s="463"/>
      <c r="E43" s="464"/>
      <c r="F43" s="434">
        <f>F44+F52+F56</f>
        <v>1681479.93565615</v>
      </c>
      <c r="G43" s="437">
        <f t="shared" si="3"/>
        <v>0</v>
      </c>
    </row>
    <row r="44" ht="20" customHeight="1" spans="1:7">
      <c r="A44" s="107">
        <v>1</v>
      </c>
      <c r="B44" s="371" t="s">
        <v>232</v>
      </c>
      <c r="C44" s="107"/>
      <c r="D44" s="443"/>
      <c r="E44" s="425"/>
      <c r="F44" s="426">
        <f>F45+F48+F50</f>
        <v>601617.323055776</v>
      </c>
      <c r="G44" s="437">
        <f t="shared" si="3"/>
        <v>0</v>
      </c>
    </row>
    <row r="45" ht="20" customHeight="1" spans="1:7">
      <c r="A45" s="107">
        <v>1.1</v>
      </c>
      <c r="B45" s="371" t="s">
        <v>233</v>
      </c>
      <c r="C45" s="107"/>
      <c r="D45" s="443"/>
      <c r="E45" s="425"/>
      <c r="F45" s="426">
        <f>F46+F47</f>
        <v>158411.544785863</v>
      </c>
      <c r="G45" s="437">
        <f t="shared" si="3"/>
        <v>0</v>
      </c>
    </row>
    <row r="46" ht="20" customHeight="1" spans="1:7">
      <c r="A46" s="107"/>
      <c r="B46" s="371" t="s">
        <v>234</v>
      </c>
      <c r="C46" s="7" t="s">
        <v>169</v>
      </c>
      <c r="D46" s="465">
        <v>11374.65</v>
      </c>
      <c r="E46" s="425">
        <f>单价汇总表!D11/100</f>
        <v>4.34148945589341</v>
      </c>
      <c r="F46" s="426">
        <f t="shared" si="5"/>
        <v>49382.923039478</v>
      </c>
      <c r="G46" s="437">
        <f t="shared" si="3"/>
        <v>49382.923039478</v>
      </c>
    </row>
    <row r="47" ht="20" customHeight="1" spans="1:7">
      <c r="A47" s="107"/>
      <c r="B47" s="371" t="s">
        <v>235</v>
      </c>
      <c r="C47" s="7" t="s">
        <v>169</v>
      </c>
      <c r="D47" s="465">
        <v>3791.55</v>
      </c>
      <c r="E47" s="425">
        <f>新定额单价!F60/100+单价汇总表!D25/100+(10-5)*1.55*0.77*1.09</f>
        <v>28.7556861300485</v>
      </c>
      <c r="F47" s="426">
        <f t="shared" si="5"/>
        <v>109028.621746385</v>
      </c>
      <c r="G47" s="437">
        <f t="shared" si="3"/>
        <v>109028.621746385</v>
      </c>
    </row>
    <row r="48" ht="20" customHeight="1" spans="1:7">
      <c r="A48" s="107">
        <v>1.2</v>
      </c>
      <c r="B48" s="371" t="s">
        <v>236</v>
      </c>
      <c r="C48" s="7"/>
      <c r="D48" s="465"/>
      <c r="E48" s="425"/>
      <c r="F48" s="426">
        <f>SUM(F49:F49)</f>
        <v>86571.2635759635</v>
      </c>
      <c r="G48" s="437">
        <f t="shared" si="3"/>
        <v>0</v>
      </c>
    </row>
    <row r="49" ht="20" customHeight="1" spans="1:7">
      <c r="A49" s="107"/>
      <c r="B49" s="371" t="s">
        <v>237</v>
      </c>
      <c r="C49" s="7" t="s">
        <v>175</v>
      </c>
      <c r="D49" s="465">
        <v>37915.5</v>
      </c>
      <c r="E49" s="425">
        <f>新定额单价!F5432/100</f>
        <v>2.28326841465795</v>
      </c>
      <c r="F49" s="426">
        <f t="shared" ref="F49:F55" si="6">D49*E49</f>
        <v>86571.2635759635</v>
      </c>
      <c r="G49" s="437">
        <f t="shared" si="3"/>
        <v>86571.2635759635</v>
      </c>
    </row>
    <row r="50" ht="20" customHeight="1" spans="1:7">
      <c r="A50" s="107">
        <v>1.3</v>
      </c>
      <c r="B50" s="371" t="s">
        <v>238</v>
      </c>
      <c r="C50" s="7"/>
      <c r="D50" s="465"/>
      <c r="E50" s="425"/>
      <c r="F50" s="426">
        <f>F51</f>
        <v>356634.514693949</v>
      </c>
      <c r="G50" s="437">
        <f t="shared" si="3"/>
        <v>0</v>
      </c>
    </row>
    <row r="51" ht="20" customHeight="1" spans="1:7">
      <c r="A51" s="107"/>
      <c r="B51" s="371" t="s">
        <v>239</v>
      </c>
      <c r="C51" s="7" t="s">
        <v>175</v>
      </c>
      <c r="D51" s="465">
        <v>37915.5</v>
      </c>
      <c r="E51" s="425">
        <f>单价汇总表!$D$187</f>
        <v>9.40603485893498</v>
      </c>
      <c r="F51" s="426">
        <f t="shared" si="6"/>
        <v>356634.514693949</v>
      </c>
      <c r="G51" s="437">
        <f t="shared" si="3"/>
        <v>356634.514693949</v>
      </c>
    </row>
    <row r="52" ht="20" customHeight="1" spans="1:7">
      <c r="A52" s="107">
        <v>2</v>
      </c>
      <c r="B52" s="371" t="s">
        <v>240</v>
      </c>
      <c r="C52" s="7"/>
      <c r="D52" s="465"/>
      <c r="E52" s="425"/>
      <c r="F52" s="426">
        <f>SUM(F53:F55)</f>
        <v>806711.841618934</v>
      </c>
      <c r="G52" s="437">
        <f t="shared" si="3"/>
        <v>0</v>
      </c>
    </row>
    <row r="53" ht="20" customHeight="1" spans="1:7">
      <c r="A53" s="107"/>
      <c r="B53" s="371" t="s">
        <v>235</v>
      </c>
      <c r="C53" s="7" t="s">
        <v>169</v>
      </c>
      <c r="D53" s="465">
        <v>5538.75</v>
      </c>
      <c r="E53" s="425">
        <f>E47</f>
        <v>28.7556861300485</v>
      </c>
      <c r="F53" s="426">
        <f t="shared" si="6"/>
        <v>159270.556552806</v>
      </c>
      <c r="G53" s="437">
        <f t="shared" si="3"/>
        <v>159270.556552806</v>
      </c>
    </row>
    <row r="54" ht="20" customHeight="1" spans="1:7">
      <c r="A54" s="107"/>
      <c r="B54" s="466" t="s">
        <v>241</v>
      </c>
      <c r="C54" s="7" t="s">
        <v>175</v>
      </c>
      <c r="D54" s="465">
        <v>55387.5</v>
      </c>
      <c r="E54" s="425">
        <f>E49</f>
        <v>2.28326841465795</v>
      </c>
      <c r="F54" s="426">
        <f t="shared" si="6"/>
        <v>126464.529316867</v>
      </c>
      <c r="G54" s="437">
        <f t="shared" si="3"/>
        <v>126464.529316867</v>
      </c>
    </row>
    <row r="55" ht="20" customHeight="1" spans="1:7">
      <c r="A55" s="107"/>
      <c r="B55" s="371" t="s">
        <v>242</v>
      </c>
      <c r="C55" s="7" t="s">
        <v>175</v>
      </c>
      <c r="D55" s="465">
        <v>55387.5</v>
      </c>
      <c r="E55" s="425">
        <f>E51</f>
        <v>9.40603485893498</v>
      </c>
      <c r="F55" s="426">
        <f t="shared" si="6"/>
        <v>520976.755749261</v>
      </c>
      <c r="G55" s="437">
        <f t="shared" si="3"/>
        <v>520976.755749261</v>
      </c>
    </row>
    <row r="56" ht="20" customHeight="1" spans="1:7">
      <c r="A56" s="107">
        <v>3</v>
      </c>
      <c r="B56" s="371" t="s">
        <v>243</v>
      </c>
      <c r="C56" s="7"/>
      <c r="D56" s="465"/>
      <c r="E56" s="425"/>
      <c r="F56" s="426">
        <f>F58+F59+F57</f>
        <v>273150.770981441</v>
      </c>
      <c r="G56" s="437">
        <f t="shared" si="3"/>
        <v>0</v>
      </c>
    </row>
    <row r="57" ht="20" customHeight="1" spans="1:7">
      <c r="A57" s="107"/>
      <c r="B57" s="371" t="s">
        <v>235</v>
      </c>
      <c r="C57" s="7" t="s">
        <v>169</v>
      </c>
      <c r="D57" s="465">
        <v>981.75</v>
      </c>
      <c r="E57" s="425">
        <f>E53</f>
        <v>28.7556861300485</v>
      </c>
      <c r="F57" s="426">
        <f t="shared" ref="F57:F59" si="7">D57*E57</f>
        <v>28230.8948581751</v>
      </c>
      <c r="G57" s="437">
        <f t="shared" si="3"/>
        <v>28230.8948581751</v>
      </c>
    </row>
    <row r="58" ht="20" customHeight="1" spans="1:7">
      <c r="A58" s="107"/>
      <c r="B58" s="466" t="s">
        <v>244</v>
      </c>
      <c r="C58" s="7" t="s">
        <v>175</v>
      </c>
      <c r="D58" s="465">
        <v>8925</v>
      </c>
      <c r="E58" s="425">
        <f>新定额单价!L5432/100</f>
        <v>18.0359680680416</v>
      </c>
      <c r="F58" s="426">
        <f t="shared" si="7"/>
        <v>160971.015007271</v>
      </c>
      <c r="G58" s="437">
        <f t="shared" si="3"/>
        <v>160971.015007271</v>
      </c>
    </row>
    <row r="59" ht="20" customHeight="1" spans="1:7">
      <c r="A59" s="107"/>
      <c r="B59" s="371" t="s">
        <v>245</v>
      </c>
      <c r="C59" s="7" t="s">
        <v>175</v>
      </c>
      <c r="D59" s="465">
        <v>8925</v>
      </c>
      <c r="E59" s="425">
        <f>单价汇总表!$D$187</f>
        <v>9.40603485893498</v>
      </c>
      <c r="F59" s="426">
        <f t="shared" si="7"/>
        <v>83948.8611159947</v>
      </c>
      <c r="G59" s="437">
        <f t="shared" si="3"/>
        <v>83948.8611159947</v>
      </c>
    </row>
    <row r="60" ht="20" customHeight="1" spans="1:7">
      <c r="A60" s="432" t="s">
        <v>121</v>
      </c>
      <c r="B60" s="433" t="s">
        <v>246</v>
      </c>
      <c r="C60" s="7"/>
      <c r="D60" s="467"/>
      <c r="E60" s="425"/>
      <c r="F60" s="434">
        <f>F61+F96</f>
        <v>1490861.03656066</v>
      </c>
      <c r="G60" s="437">
        <f t="shared" si="3"/>
        <v>0</v>
      </c>
    </row>
    <row r="61" ht="20" customHeight="1" spans="1:7">
      <c r="A61" s="468">
        <v>1</v>
      </c>
      <c r="B61" s="418" t="s">
        <v>247</v>
      </c>
      <c r="C61" s="468" t="s">
        <v>248</v>
      </c>
      <c r="D61" s="443"/>
      <c r="E61" s="425"/>
      <c r="F61" s="434">
        <f>F62</f>
        <v>312599.112309341</v>
      </c>
      <c r="G61" s="437">
        <f t="shared" si="3"/>
        <v>0</v>
      </c>
    </row>
    <row r="62" ht="20" customHeight="1" spans="1:7">
      <c r="A62" s="5">
        <v>1.1</v>
      </c>
      <c r="B62" s="391" t="s">
        <v>313</v>
      </c>
      <c r="C62" s="378" t="s">
        <v>193</v>
      </c>
      <c r="D62" s="425"/>
      <c r="E62" s="425"/>
      <c r="F62" s="434">
        <f>F63+F74+F88</f>
        <v>312599.112309341</v>
      </c>
      <c r="G62" s="437">
        <f t="shared" ref="G62:G69" si="8">D62*E62</f>
        <v>0</v>
      </c>
    </row>
    <row r="63" ht="20" customHeight="1" spans="1:7">
      <c r="A63" s="378" t="s">
        <v>250</v>
      </c>
      <c r="B63" s="11" t="s">
        <v>278</v>
      </c>
      <c r="C63" s="7" t="s">
        <v>193</v>
      </c>
      <c r="D63" s="425">
        <v>1</v>
      </c>
      <c r="E63" s="425"/>
      <c r="F63" s="426">
        <f>SUM(F64:F73)</f>
        <v>195410.702075492</v>
      </c>
      <c r="G63" s="437">
        <f t="shared" si="8"/>
        <v>0</v>
      </c>
    </row>
    <row r="64" ht="20" customHeight="1" spans="1:7">
      <c r="A64" s="378"/>
      <c r="B64" s="470" t="s">
        <v>279</v>
      </c>
      <c r="C64" s="471" t="s">
        <v>169</v>
      </c>
      <c r="D64" s="425">
        <v>184.88</v>
      </c>
      <c r="E64" s="425">
        <f>建筑概算核!H235</f>
        <v>9.15967136570967</v>
      </c>
      <c r="F64" s="426">
        <f t="shared" ref="F64:F74" si="9">D64*E64</f>
        <v>1693.4400420924</v>
      </c>
      <c r="G64" s="437">
        <f t="shared" si="8"/>
        <v>1693.4400420924</v>
      </c>
    </row>
    <row r="65" ht="20" customHeight="1" spans="1:7">
      <c r="A65" s="378"/>
      <c r="B65" s="406" t="s">
        <v>280</v>
      </c>
      <c r="C65" s="7" t="s">
        <v>169</v>
      </c>
      <c r="D65" s="425">
        <v>396.45</v>
      </c>
      <c r="E65" s="425">
        <f>建筑概算核!H236</f>
        <v>5.59741698768686</v>
      </c>
      <c r="F65" s="426">
        <f t="shared" si="9"/>
        <v>2219.09596476846</v>
      </c>
      <c r="G65" s="437">
        <f t="shared" si="8"/>
        <v>2219.09596476846</v>
      </c>
    </row>
    <row r="66" ht="20" customHeight="1" spans="1:7">
      <c r="A66" s="378"/>
      <c r="B66" s="406" t="s">
        <v>281</v>
      </c>
      <c r="C66" s="7" t="s">
        <v>169</v>
      </c>
      <c r="D66" s="425">
        <v>312.36</v>
      </c>
      <c r="E66" s="425">
        <f>建筑概算核!H237</f>
        <v>13.9556177229579</v>
      </c>
      <c r="F66" s="426">
        <f t="shared" si="9"/>
        <v>4359.17675194313</v>
      </c>
      <c r="G66" s="437">
        <f t="shared" si="8"/>
        <v>4359.17675194313</v>
      </c>
    </row>
    <row r="67" ht="20" customHeight="1" spans="1:7">
      <c r="A67" s="378"/>
      <c r="B67" s="11" t="s">
        <v>282</v>
      </c>
      <c r="C67" s="7" t="s">
        <v>169</v>
      </c>
      <c r="D67" s="425">
        <v>19</v>
      </c>
      <c r="E67" s="425">
        <f>建筑概算核!H238</f>
        <v>583.257794671639</v>
      </c>
      <c r="F67" s="426">
        <f t="shared" si="9"/>
        <v>11081.8980987611</v>
      </c>
      <c r="G67" s="437">
        <f t="shared" si="8"/>
        <v>11081.8980987611</v>
      </c>
    </row>
    <row r="68" ht="20" customHeight="1" spans="1:7">
      <c r="A68" s="378"/>
      <c r="B68" s="11" t="s">
        <v>283</v>
      </c>
      <c r="C68" s="7" t="s">
        <v>169</v>
      </c>
      <c r="D68" s="425">
        <v>51.05</v>
      </c>
      <c r="E68" s="425">
        <f>建筑概算核!H239</f>
        <v>217.66</v>
      </c>
      <c r="F68" s="426">
        <f t="shared" si="9"/>
        <v>11111.543</v>
      </c>
      <c r="G68" s="437">
        <f t="shared" si="8"/>
        <v>11111.543</v>
      </c>
    </row>
    <row r="69" ht="20" customHeight="1" spans="1:7">
      <c r="A69" s="378"/>
      <c r="B69" s="11" t="s">
        <v>285</v>
      </c>
      <c r="C69" s="7" t="s">
        <v>169</v>
      </c>
      <c r="D69" s="425">
        <v>67.35</v>
      </c>
      <c r="E69" s="425">
        <f>建筑概算核!H240</f>
        <v>12.9724899040303</v>
      </c>
      <c r="F69" s="426">
        <f t="shared" si="9"/>
        <v>873.697195036441</v>
      </c>
      <c r="G69" s="437">
        <f t="shared" si="8"/>
        <v>873.697195036441</v>
      </c>
    </row>
    <row r="70" ht="20" customHeight="1" spans="1:7">
      <c r="A70" s="378"/>
      <c r="B70" s="473" t="s">
        <v>287</v>
      </c>
      <c r="C70" s="474" t="s">
        <v>169</v>
      </c>
      <c r="D70" s="425">
        <v>0.22</v>
      </c>
      <c r="E70" s="425">
        <f>建筑概算核!H242</f>
        <v>574.648992970568</v>
      </c>
      <c r="F70" s="426">
        <f t="shared" si="9"/>
        <v>126.422778453525</v>
      </c>
      <c r="G70" s="437">
        <f t="shared" ref="G70:G103" si="10">D70*E70</f>
        <v>126.422778453525</v>
      </c>
    </row>
    <row r="71" ht="20" customHeight="1" spans="1:7">
      <c r="A71" s="378"/>
      <c r="B71" s="473" t="s">
        <v>288</v>
      </c>
      <c r="C71" s="474" t="s">
        <v>169</v>
      </c>
      <c r="D71" s="425">
        <v>12.67</v>
      </c>
      <c r="E71" s="425">
        <f>建筑概算核!H243</f>
        <v>500.913286409664</v>
      </c>
      <c r="F71" s="426">
        <f t="shared" si="9"/>
        <v>6346.57133881044</v>
      </c>
      <c r="G71" s="437">
        <f t="shared" si="10"/>
        <v>6346.57133881044</v>
      </c>
    </row>
    <row r="72" ht="20" customHeight="1" spans="1:7">
      <c r="A72" s="378"/>
      <c r="B72" s="473" t="s">
        <v>214</v>
      </c>
      <c r="C72" s="474" t="s">
        <v>200</v>
      </c>
      <c r="D72" s="425">
        <v>0.2</v>
      </c>
      <c r="E72" s="425">
        <f>建筑概算核!H244</f>
        <v>6774.28452813344</v>
      </c>
      <c r="F72" s="426">
        <f t="shared" si="9"/>
        <v>1354.85690562669</v>
      </c>
      <c r="G72" s="437">
        <f t="shared" si="10"/>
        <v>1354.85690562669</v>
      </c>
    </row>
    <row r="73" ht="20" customHeight="1" spans="1:7">
      <c r="A73" s="378"/>
      <c r="B73" s="11" t="s">
        <v>289</v>
      </c>
      <c r="C73" s="471" t="s">
        <v>175</v>
      </c>
      <c r="D73" s="425">
        <v>71.02</v>
      </c>
      <c r="E73" s="425">
        <f>建筑概算核!H245</f>
        <v>2200</v>
      </c>
      <c r="F73" s="426">
        <f t="shared" si="9"/>
        <v>156244</v>
      </c>
      <c r="G73" s="437">
        <f t="shared" si="10"/>
        <v>156244</v>
      </c>
    </row>
    <row r="74" ht="20" customHeight="1" spans="1:7">
      <c r="A74" s="7" t="s">
        <v>314</v>
      </c>
      <c r="B74" s="475" t="s">
        <v>290</v>
      </c>
      <c r="C74" s="476"/>
      <c r="D74" s="425"/>
      <c r="E74" s="425"/>
      <c r="F74" s="426">
        <f>SUM(F75:F87)</f>
        <v>115046.19516263</v>
      </c>
      <c r="G74" s="437">
        <f t="shared" si="10"/>
        <v>0</v>
      </c>
    </row>
    <row r="75" ht="20" customHeight="1" spans="1:7">
      <c r="A75" s="7"/>
      <c r="B75" s="406" t="s">
        <v>291</v>
      </c>
      <c r="C75" s="7" t="s">
        <v>169</v>
      </c>
      <c r="D75" s="425">
        <v>309.402624</v>
      </c>
      <c r="E75" s="425">
        <f>建筑概算核!H247</f>
        <v>5.59741698768686</v>
      </c>
      <c r="F75" s="426">
        <f t="shared" ref="F75:F87" si="11">D75*E75</f>
        <v>1731.85550361249</v>
      </c>
      <c r="G75" s="437">
        <f t="shared" si="10"/>
        <v>1731.85550361249</v>
      </c>
    </row>
    <row r="76" ht="20" customHeight="1" spans="1:7">
      <c r="A76" s="7"/>
      <c r="B76" s="406" t="s">
        <v>292</v>
      </c>
      <c r="C76" s="7" t="s">
        <v>169</v>
      </c>
      <c r="D76" s="425">
        <v>100.0224</v>
      </c>
      <c r="E76" s="425">
        <f>建筑概算核!H248</f>
        <v>13.9556177229579</v>
      </c>
      <c r="F76" s="426">
        <f t="shared" si="11"/>
        <v>1395.87437813278</v>
      </c>
      <c r="G76" s="437">
        <f t="shared" si="10"/>
        <v>1395.87437813278</v>
      </c>
    </row>
    <row r="77" ht="20" customHeight="1" spans="1:7">
      <c r="A77" s="7"/>
      <c r="B77" s="406" t="s">
        <v>293</v>
      </c>
      <c r="C77" s="7" t="s">
        <v>169</v>
      </c>
      <c r="D77" s="425">
        <v>57.1642</v>
      </c>
      <c r="E77" s="425">
        <f>建筑概算核!H249</f>
        <v>977.945649219147</v>
      </c>
      <c r="F77" s="426">
        <f t="shared" si="11"/>
        <v>55903.4806810932</v>
      </c>
      <c r="G77" s="437">
        <f t="shared" si="10"/>
        <v>55903.4806810932</v>
      </c>
    </row>
    <row r="78" ht="20" customHeight="1" spans="1:7">
      <c r="A78" s="7"/>
      <c r="B78" s="406" t="s">
        <v>294</v>
      </c>
      <c r="C78" s="7" t="s">
        <v>169</v>
      </c>
      <c r="D78" s="425">
        <v>15.71556</v>
      </c>
      <c r="E78" s="425">
        <f>建筑概算核!H250</f>
        <v>583.06661449156</v>
      </c>
      <c r="F78" s="426">
        <f t="shared" si="11"/>
        <v>9163.21836403898</v>
      </c>
      <c r="G78" s="437">
        <f t="shared" si="10"/>
        <v>9163.21836403898</v>
      </c>
    </row>
    <row r="79" ht="20" customHeight="1" spans="1:7">
      <c r="A79" s="7"/>
      <c r="B79" s="406" t="s">
        <v>295</v>
      </c>
      <c r="C79" s="7" t="s">
        <v>169</v>
      </c>
      <c r="D79" s="425">
        <v>0.968</v>
      </c>
      <c r="E79" s="425">
        <f>建筑概算核!H251</f>
        <v>574.648992970568</v>
      </c>
      <c r="F79" s="426">
        <f t="shared" si="11"/>
        <v>556.26022519551</v>
      </c>
      <c r="G79" s="437">
        <f t="shared" si="10"/>
        <v>556.26022519551</v>
      </c>
    </row>
    <row r="80" ht="20" customHeight="1" spans="1:7">
      <c r="A80" s="7"/>
      <c r="B80" s="406" t="s">
        <v>296</v>
      </c>
      <c r="C80" s="7" t="s">
        <v>169</v>
      </c>
      <c r="D80" s="425">
        <v>1</v>
      </c>
      <c r="E80" s="425">
        <f>建筑概算核!H252</f>
        <v>608.128267909413</v>
      </c>
      <c r="F80" s="426">
        <f t="shared" si="11"/>
        <v>608.128267909413</v>
      </c>
      <c r="G80" s="437">
        <f t="shared" si="10"/>
        <v>608.128267909413</v>
      </c>
    </row>
    <row r="81" ht="20" customHeight="1" spans="1:7">
      <c r="A81" s="7"/>
      <c r="B81" s="406" t="s">
        <v>297</v>
      </c>
      <c r="C81" s="7" t="s">
        <v>169</v>
      </c>
      <c r="D81" s="425">
        <v>2.24508</v>
      </c>
      <c r="E81" s="425">
        <f>建筑概算核!H253</f>
        <v>500.913286409664</v>
      </c>
      <c r="F81" s="426">
        <f t="shared" si="11"/>
        <v>1124.59040105261</v>
      </c>
      <c r="G81" s="437">
        <f t="shared" si="10"/>
        <v>1124.59040105261</v>
      </c>
    </row>
    <row r="82" ht="20" customHeight="1" spans="1:7">
      <c r="A82" s="7"/>
      <c r="B82" s="406" t="s">
        <v>298</v>
      </c>
      <c r="C82" s="7" t="s">
        <v>169</v>
      </c>
      <c r="D82" s="425">
        <v>0.484</v>
      </c>
      <c r="E82" s="425">
        <f>建筑概算核!H254</f>
        <v>583.06661449156</v>
      </c>
      <c r="F82" s="426">
        <f t="shared" si="11"/>
        <v>282.204241413915</v>
      </c>
      <c r="G82" s="437">
        <f t="shared" si="10"/>
        <v>282.204241413915</v>
      </c>
    </row>
    <row r="83" ht="20" customHeight="1" spans="1:7">
      <c r="A83" s="7"/>
      <c r="B83" s="406" t="s">
        <v>214</v>
      </c>
      <c r="C83" s="7" t="s">
        <v>200</v>
      </c>
      <c r="D83" s="425">
        <v>0.74367513472</v>
      </c>
      <c r="E83" s="425">
        <f>建筑概算核!H255</f>
        <v>6774.28452813344</v>
      </c>
      <c r="F83" s="426">
        <f t="shared" si="11"/>
        <v>5037.86695909125</v>
      </c>
      <c r="G83" s="437">
        <f t="shared" si="10"/>
        <v>5037.86695909125</v>
      </c>
    </row>
    <row r="84" ht="20" customHeight="1" spans="1:7">
      <c r="A84" s="7"/>
      <c r="B84" s="406" t="s">
        <v>299</v>
      </c>
      <c r="C84" s="7" t="s">
        <v>200</v>
      </c>
      <c r="D84" s="425">
        <v>1.35</v>
      </c>
      <c r="E84" s="425">
        <f>建筑概算核!H256</f>
        <v>7112.99875454011</v>
      </c>
      <c r="F84" s="426">
        <f t="shared" si="11"/>
        <v>9602.54831862915</v>
      </c>
      <c r="G84" s="437">
        <f t="shared" si="10"/>
        <v>9602.54831862915</v>
      </c>
    </row>
    <row r="85" ht="20" customHeight="1" spans="1:7">
      <c r="A85" s="7"/>
      <c r="B85" s="406" t="s">
        <v>300</v>
      </c>
      <c r="C85" s="7" t="s">
        <v>200</v>
      </c>
      <c r="D85" s="425">
        <v>1.56</v>
      </c>
      <c r="E85" s="425">
        <f>建筑概算核!H257</f>
        <v>7112.99875454011</v>
      </c>
      <c r="F85" s="426">
        <f t="shared" si="11"/>
        <v>11096.2780570826</v>
      </c>
      <c r="G85" s="437">
        <f t="shared" si="10"/>
        <v>11096.2780570826</v>
      </c>
    </row>
    <row r="86" ht="20" customHeight="1" spans="1:7">
      <c r="A86" s="7"/>
      <c r="B86" s="406" t="s">
        <v>301</v>
      </c>
      <c r="C86" s="7" t="s">
        <v>169</v>
      </c>
      <c r="D86" s="425">
        <v>0.72</v>
      </c>
      <c r="E86" s="425">
        <f>建筑概算核!H258</f>
        <v>24000</v>
      </c>
      <c r="F86" s="426">
        <f t="shared" si="11"/>
        <v>17280</v>
      </c>
      <c r="G86" s="437">
        <f t="shared" si="10"/>
        <v>17280</v>
      </c>
    </row>
    <row r="87" ht="20" customHeight="1" spans="1:7">
      <c r="A87" s="7"/>
      <c r="B87" s="406" t="s">
        <v>302</v>
      </c>
      <c r="C87" s="7" t="s">
        <v>175</v>
      </c>
      <c r="D87" s="425">
        <v>5.8</v>
      </c>
      <c r="E87" s="425">
        <f>建筑概算核!H259</f>
        <v>217.912028513414</v>
      </c>
      <c r="F87" s="426">
        <f t="shared" si="11"/>
        <v>1263.8897653778</v>
      </c>
      <c r="G87" s="437">
        <f t="shared" si="10"/>
        <v>1263.8897653778</v>
      </c>
    </row>
    <row r="88" ht="20" customHeight="1" spans="1:7">
      <c r="A88" s="378" t="s">
        <v>316</v>
      </c>
      <c r="B88" s="477" t="s">
        <v>303</v>
      </c>
      <c r="C88" s="478" t="s">
        <v>193</v>
      </c>
      <c r="D88" s="425">
        <v>1</v>
      </c>
      <c r="E88" s="425"/>
      <c r="F88" s="426">
        <f>SUM(F89:F95)</f>
        <v>2142.21507121869</v>
      </c>
      <c r="G88" s="437">
        <f t="shared" si="10"/>
        <v>0</v>
      </c>
    </row>
    <row r="89" ht="20" customHeight="1" spans="1:7">
      <c r="A89" s="378"/>
      <c r="B89" s="406" t="s">
        <v>304</v>
      </c>
      <c r="C89" s="479" t="s">
        <v>305</v>
      </c>
      <c r="D89" s="425">
        <v>1</v>
      </c>
      <c r="E89" s="425">
        <f>建筑概算核!H261</f>
        <v>1000</v>
      </c>
      <c r="F89" s="426">
        <f t="shared" ref="F89:F95" si="12">D89*E89</f>
        <v>1000</v>
      </c>
      <c r="G89" s="437">
        <f t="shared" si="10"/>
        <v>1000</v>
      </c>
    </row>
    <row r="90" ht="20" customHeight="1" spans="1:7">
      <c r="A90" s="378"/>
      <c r="B90" s="11" t="s">
        <v>306</v>
      </c>
      <c r="C90" s="480" t="s">
        <v>307</v>
      </c>
      <c r="D90" s="425">
        <v>0.763337925</v>
      </c>
      <c r="E90" s="425">
        <f>建筑概算核!H262</f>
        <v>573.383274298207</v>
      </c>
      <c r="F90" s="426">
        <f t="shared" si="12"/>
        <v>437.685198832499</v>
      </c>
      <c r="G90" s="437">
        <f t="shared" si="10"/>
        <v>437.685198832499</v>
      </c>
    </row>
    <row r="91" ht="20" customHeight="1" spans="1:7">
      <c r="A91" s="378"/>
      <c r="B91" s="11" t="s">
        <v>308</v>
      </c>
      <c r="C91" s="480" t="s">
        <v>307</v>
      </c>
      <c r="D91" s="425">
        <v>0.1764</v>
      </c>
      <c r="E91" s="425">
        <f>建筑概算核!H263</f>
        <v>647.324646660022</v>
      </c>
      <c r="F91" s="426">
        <f t="shared" si="12"/>
        <v>114.188067670828</v>
      </c>
      <c r="G91" s="437">
        <f t="shared" si="10"/>
        <v>114.188067670828</v>
      </c>
    </row>
    <row r="92" ht="20" customHeight="1" spans="1:7">
      <c r="A92" s="378"/>
      <c r="B92" s="11" t="s">
        <v>309</v>
      </c>
      <c r="C92" s="480" t="s">
        <v>307</v>
      </c>
      <c r="D92" s="425">
        <v>0.1038555</v>
      </c>
      <c r="E92" s="425">
        <f>建筑概算核!H264</f>
        <v>647.324646660022</v>
      </c>
      <c r="F92" s="426">
        <f t="shared" si="12"/>
        <v>67.2282248411999</v>
      </c>
      <c r="G92" s="437">
        <f t="shared" si="10"/>
        <v>67.2282248411999</v>
      </c>
    </row>
    <row r="93" ht="20" customHeight="1" spans="1:7">
      <c r="A93" s="378"/>
      <c r="B93" s="11" t="s">
        <v>310</v>
      </c>
      <c r="C93" s="7" t="s">
        <v>305</v>
      </c>
      <c r="D93" s="425">
        <f>D88</f>
        <v>1</v>
      </c>
      <c r="E93" s="425">
        <f>建筑概算核!H265</f>
        <v>50</v>
      </c>
      <c r="F93" s="426">
        <f t="shared" si="12"/>
        <v>50</v>
      </c>
      <c r="G93" s="437">
        <f t="shared" si="10"/>
        <v>50</v>
      </c>
    </row>
    <row r="94" ht="20" customHeight="1" spans="1:7">
      <c r="A94" s="378"/>
      <c r="B94" s="11" t="s">
        <v>311</v>
      </c>
      <c r="C94" s="481" t="s">
        <v>307</v>
      </c>
      <c r="D94" s="425">
        <v>0.19732545</v>
      </c>
      <c r="E94" s="425">
        <f>建筑概算核!H266</f>
        <v>583.993706543077</v>
      </c>
      <c r="F94" s="426">
        <f t="shared" si="12"/>
        <v>115.236820940781</v>
      </c>
      <c r="G94" s="437">
        <f t="shared" si="10"/>
        <v>115.236820940781</v>
      </c>
    </row>
    <row r="95" ht="20" customHeight="1" spans="1:7">
      <c r="A95" s="378"/>
      <c r="B95" s="482" t="s">
        <v>312</v>
      </c>
      <c r="C95" s="483" t="s">
        <v>175</v>
      </c>
      <c r="D95" s="425">
        <v>19.21</v>
      </c>
      <c r="E95" s="425">
        <f>建筑概算核!H267</f>
        <v>18.6297115530134</v>
      </c>
      <c r="F95" s="426">
        <f t="shared" si="12"/>
        <v>357.876758933387</v>
      </c>
      <c r="G95" s="437">
        <f t="shared" si="10"/>
        <v>357.876758933387</v>
      </c>
    </row>
    <row r="96" ht="20" customHeight="1" spans="1:7">
      <c r="A96" s="468">
        <v>2</v>
      </c>
      <c r="B96" s="418" t="s">
        <v>324</v>
      </c>
      <c r="C96" s="468" t="s">
        <v>248</v>
      </c>
      <c r="D96" s="298"/>
      <c r="E96" s="425"/>
      <c r="F96" s="434">
        <f>F97</f>
        <v>1178261.92425132</v>
      </c>
      <c r="G96" s="437">
        <f t="shared" si="10"/>
        <v>0</v>
      </c>
    </row>
    <row r="97" ht="20" customHeight="1" spans="1:7">
      <c r="A97" s="468">
        <v>2.2</v>
      </c>
      <c r="B97" s="418" t="s">
        <v>394</v>
      </c>
      <c r="C97" s="468"/>
      <c r="D97" s="298"/>
      <c r="E97" s="425"/>
      <c r="F97" s="426">
        <f>F98+F112+F128+F143+F149</f>
        <v>1178261.92425132</v>
      </c>
      <c r="G97" s="437">
        <f t="shared" ref="G97:G153" si="13">D97*E97</f>
        <v>0</v>
      </c>
    </row>
    <row r="98" ht="20" customHeight="1" spans="1:7">
      <c r="A98" s="123" t="s">
        <v>396</v>
      </c>
      <c r="B98" s="406" t="s">
        <v>327</v>
      </c>
      <c r="C98" s="468"/>
      <c r="D98" s="298"/>
      <c r="E98" s="425"/>
      <c r="F98" s="426">
        <f>F99+F103+F104+F107+F110</f>
        <v>551364.884</v>
      </c>
      <c r="G98" s="437">
        <f t="shared" si="13"/>
        <v>0</v>
      </c>
    </row>
    <row r="99" ht="20" customHeight="1" spans="1:7">
      <c r="A99" s="123" t="s">
        <v>329</v>
      </c>
      <c r="B99" s="406" t="s">
        <v>330</v>
      </c>
      <c r="C99" s="123" t="s">
        <v>248</v>
      </c>
      <c r="D99" s="298"/>
      <c r="E99" s="425"/>
      <c r="F99" s="426">
        <f>SUM(F100:F102)</f>
        <v>335040.59</v>
      </c>
      <c r="G99" s="437">
        <f t="shared" si="13"/>
        <v>0</v>
      </c>
    </row>
    <row r="100" ht="20" customHeight="1" spans="1:7">
      <c r="A100" s="123" t="s">
        <v>248</v>
      </c>
      <c r="B100" s="406" t="s">
        <v>397</v>
      </c>
      <c r="C100" s="123" t="s">
        <v>167</v>
      </c>
      <c r="D100" s="298">
        <v>4120</v>
      </c>
      <c r="E100" s="425">
        <f>管材!M14</f>
        <v>26.15</v>
      </c>
      <c r="F100" s="426">
        <f t="shared" ref="F100:F103" si="14">D100*E100</f>
        <v>107738</v>
      </c>
      <c r="G100" s="437">
        <f t="shared" si="13"/>
        <v>107738</v>
      </c>
    </row>
    <row r="101" ht="20" customHeight="1" spans="1:7">
      <c r="A101" s="123" t="s">
        <v>248</v>
      </c>
      <c r="B101" s="406" t="s">
        <v>398</v>
      </c>
      <c r="C101" s="123" t="s">
        <v>167</v>
      </c>
      <c r="D101" s="298">
        <v>8379</v>
      </c>
      <c r="E101" s="425">
        <f>管材!L14</f>
        <v>21.31</v>
      </c>
      <c r="F101" s="426">
        <f t="shared" si="14"/>
        <v>178556.49</v>
      </c>
      <c r="G101" s="437">
        <f t="shared" si="13"/>
        <v>178556.49</v>
      </c>
    </row>
    <row r="102" ht="20" customHeight="1" spans="1:7">
      <c r="A102" s="123"/>
      <c r="B102" s="406" t="s">
        <v>399</v>
      </c>
      <c r="C102" s="123" t="s">
        <v>167</v>
      </c>
      <c r="D102" s="298">
        <f>D100+D101</f>
        <v>12499</v>
      </c>
      <c r="E102" s="425">
        <v>3.9</v>
      </c>
      <c r="F102" s="426">
        <f t="shared" si="14"/>
        <v>48746.1</v>
      </c>
      <c r="G102" s="437">
        <f t="shared" si="13"/>
        <v>48746.1</v>
      </c>
    </row>
    <row r="103" ht="20" customHeight="1" spans="1:7">
      <c r="A103" s="123" t="s">
        <v>334</v>
      </c>
      <c r="B103" s="406" t="s">
        <v>335</v>
      </c>
      <c r="C103" s="484" t="s">
        <v>336</v>
      </c>
      <c r="D103" s="484">
        <v>0.1</v>
      </c>
      <c r="E103" s="425">
        <f>F100+F101</f>
        <v>286294.49</v>
      </c>
      <c r="F103" s="426">
        <f t="shared" si="14"/>
        <v>28629.449</v>
      </c>
      <c r="G103" s="437">
        <f t="shared" si="13"/>
        <v>28629.449</v>
      </c>
    </row>
    <row r="104" ht="20" customHeight="1" spans="1:7">
      <c r="A104" s="123" t="s">
        <v>337</v>
      </c>
      <c r="B104" s="406" t="s">
        <v>338</v>
      </c>
      <c r="C104" s="123" t="s">
        <v>248</v>
      </c>
      <c r="D104" s="298"/>
      <c r="E104" s="425"/>
      <c r="F104" s="426">
        <f>SUM(F105:F106)</f>
        <v>126398.32</v>
      </c>
      <c r="G104" s="437">
        <f t="shared" si="13"/>
        <v>0</v>
      </c>
    </row>
    <row r="105" ht="20" customHeight="1" spans="1:7">
      <c r="A105" s="123" t="s">
        <v>248</v>
      </c>
      <c r="B105" s="406" t="s">
        <v>339</v>
      </c>
      <c r="C105" s="123" t="s">
        <v>169</v>
      </c>
      <c r="D105" s="298">
        <v>18874</v>
      </c>
      <c r="E105" s="425">
        <v>3.98</v>
      </c>
      <c r="F105" s="426">
        <f t="shared" ref="F105:F109" si="15">D105*E105</f>
        <v>75118.52</v>
      </c>
      <c r="G105" s="437">
        <f t="shared" si="13"/>
        <v>75118.52</v>
      </c>
    </row>
    <row r="106" ht="20" customHeight="1" spans="1:7">
      <c r="A106" s="123" t="s">
        <v>248</v>
      </c>
      <c r="B106" s="406" t="s">
        <v>340</v>
      </c>
      <c r="C106" s="123" t="s">
        <v>169</v>
      </c>
      <c r="D106" s="298">
        <v>17930</v>
      </c>
      <c r="E106" s="425">
        <v>2.86</v>
      </c>
      <c r="F106" s="426">
        <f t="shared" si="15"/>
        <v>51279.8</v>
      </c>
      <c r="G106" s="437">
        <f t="shared" si="13"/>
        <v>51279.8</v>
      </c>
    </row>
    <row r="107" ht="20" customHeight="1" spans="1:7">
      <c r="A107" s="123" t="s">
        <v>342</v>
      </c>
      <c r="B107" s="406" t="s">
        <v>343</v>
      </c>
      <c r="C107" s="123"/>
      <c r="D107" s="298"/>
      <c r="E107" s="425"/>
      <c r="F107" s="426">
        <f>SUM(F108:F109)</f>
        <v>29400</v>
      </c>
      <c r="G107" s="437">
        <f t="shared" si="13"/>
        <v>0</v>
      </c>
    </row>
    <row r="108" ht="20" customHeight="1" spans="1:7">
      <c r="A108" s="123" t="s">
        <v>248</v>
      </c>
      <c r="B108" s="406" t="s">
        <v>344</v>
      </c>
      <c r="C108" s="123" t="s">
        <v>193</v>
      </c>
      <c r="D108" s="298">
        <v>21</v>
      </c>
      <c r="E108" s="425">
        <v>650</v>
      </c>
      <c r="F108" s="426">
        <f t="shared" si="15"/>
        <v>13650</v>
      </c>
      <c r="G108" s="437">
        <f t="shared" si="13"/>
        <v>13650</v>
      </c>
    </row>
    <row r="109" ht="20" customHeight="1" spans="1:7">
      <c r="A109" s="123" t="s">
        <v>248</v>
      </c>
      <c r="B109" s="406" t="s">
        <v>400</v>
      </c>
      <c r="C109" s="123" t="s">
        <v>305</v>
      </c>
      <c r="D109" s="298">
        <f>D108</f>
        <v>21</v>
      </c>
      <c r="E109" s="425">
        <v>750</v>
      </c>
      <c r="F109" s="426">
        <f t="shared" si="15"/>
        <v>15750</v>
      </c>
      <c r="G109" s="437">
        <f t="shared" si="13"/>
        <v>15750</v>
      </c>
    </row>
    <row r="110" ht="20" customHeight="1" spans="1:7">
      <c r="A110" s="485" t="s">
        <v>346</v>
      </c>
      <c r="B110" s="406" t="s">
        <v>347</v>
      </c>
      <c r="C110" s="123" t="s">
        <v>193</v>
      </c>
      <c r="D110" s="298">
        <v>3</v>
      </c>
      <c r="E110" s="425"/>
      <c r="F110" s="426">
        <f>F111</f>
        <v>31896.525</v>
      </c>
      <c r="G110" s="437">
        <f t="shared" si="13"/>
        <v>0</v>
      </c>
    </row>
    <row r="111" ht="20" customHeight="1" spans="1:7">
      <c r="A111" s="123" t="s">
        <v>248</v>
      </c>
      <c r="B111" s="406" t="s">
        <v>401</v>
      </c>
      <c r="C111" s="123" t="s">
        <v>167</v>
      </c>
      <c r="D111" s="298">
        <v>154.5</v>
      </c>
      <c r="E111" s="425">
        <f>管材!G42+150</f>
        <v>206.45</v>
      </c>
      <c r="F111" s="426">
        <f t="shared" ref="F111:F120" si="16">D111*E111</f>
        <v>31896.525</v>
      </c>
      <c r="G111" s="437">
        <f t="shared" si="13"/>
        <v>31896.525</v>
      </c>
    </row>
    <row r="112" ht="20" customHeight="1" spans="1:7">
      <c r="A112" s="123" t="s">
        <v>403</v>
      </c>
      <c r="B112" s="406" t="s">
        <v>350</v>
      </c>
      <c r="C112" s="123" t="s">
        <v>248</v>
      </c>
      <c r="D112" s="298"/>
      <c r="E112" s="425"/>
      <c r="F112" s="426">
        <f>F113+F120+F121+F124</f>
        <v>286522.326</v>
      </c>
      <c r="G112" s="437">
        <f t="shared" si="13"/>
        <v>0</v>
      </c>
    </row>
    <row r="113" ht="20" customHeight="1" spans="1:7">
      <c r="A113" s="123" t="s">
        <v>329</v>
      </c>
      <c r="B113" s="406" t="s">
        <v>330</v>
      </c>
      <c r="C113" s="123"/>
      <c r="D113" s="298"/>
      <c r="E113" s="425"/>
      <c r="F113" s="426">
        <f>SUM(F114:F119)</f>
        <v>168842.56</v>
      </c>
      <c r="G113" s="437">
        <f t="shared" si="13"/>
        <v>0</v>
      </c>
    </row>
    <row r="114" ht="20" customHeight="1" spans="1:7">
      <c r="A114" s="123"/>
      <c r="B114" s="406" t="s">
        <v>404</v>
      </c>
      <c r="C114" s="123" t="s">
        <v>167</v>
      </c>
      <c r="D114" s="298">
        <v>2657</v>
      </c>
      <c r="E114" s="425">
        <f>管材!L14</f>
        <v>21.31</v>
      </c>
      <c r="F114" s="426">
        <f t="shared" si="16"/>
        <v>56620.67</v>
      </c>
      <c r="G114" s="437">
        <f t="shared" si="13"/>
        <v>56620.67</v>
      </c>
    </row>
    <row r="115" ht="20" customHeight="1" spans="1:7">
      <c r="A115" s="123"/>
      <c r="B115" s="406" t="s">
        <v>352</v>
      </c>
      <c r="C115" s="123" t="s">
        <v>167</v>
      </c>
      <c r="D115" s="298">
        <v>4532</v>
      </c>
      <c r="E115" s="425">
        <f>管材!L11</f>
        <v>9.47</v>
      </c>
      <c r="F115" s="426">
        <f t="shared" si="16"/>
        <v>42918.04</v>
      </c>
      <c r="G115" s="437">
        <f t="shared" si="13"/>
        <v>42918.04</v>
      </c>
    </row>
    <row r="116" ht="20" customHeight="1" spans="1:7">
      <c r="A116" s="123"/>
      <c r="B116" s="406" t="s">
        <v>353</v>
      </c>
      <c r="C116" s="123" t="s">
        <v>167</v>
      </c>
      <c r="D116" s="298">
        <v>2570</v>
      </c>
      <c r="E116" s="425">
        <f>管材!L12</f>
        <v>13.61</v>
      </c>
      <c r="F116" s="426">
        <f t="shared" si="16"/>
        <v>34977.7</v>
      </c>
      <c r="G116" s="437">
        <f t="shared" si="13"/>
        <v>34977.7</v>
      </c>
    </row>
    <row r="117" ht="20" customHeight="1" spans="1:7">
      <c r="A117" s="123"/>
      <c r="B117" s="406" t="s">
        <v>354</v>
      </c>
      <c r="C117" s="123" t="s">
        <v>167</v>
      </c>
      <c r="D117" s="298">
        <v>35</v>
      </c>
      <c r="E117" s="425">
        <f>E114</f>
        <v>21.31</v>
      </c>
      <c r="F117" s="426">
        <f t="shared" si="16"/>
        <v>745.85</v>
      </c>
      <c r="G117" s="437">
        <f t="shared" si="13"/>
        <v>745.85</v>
      </c>
    </row>
    <row r="118" ht="20" customHeight="1" spans="1:7">
      <c r="A118" s="123"/>
      <c r="B118" s="406" t="s">
        <v>355</v>
      </c>
      <c r="C118" s="123" t="s">
        <v>167</v>
      </c>
      <c r="D118" s="298">
        <f>D115+D116</f>
        <v>7102</v>
      </c>
      <c r="E118" s="425">
        <v>3.25</v>
      </c>
      <c r="F118" s="426">
        <f t="shared" si="16"/>
        <v>23081.5</v>
      </c>
      <c r="G118" s="437">
        <f t="shared" si="13"/>
        <v>23081.5</v>
      </c>
    </row>
    <row r="119" ht="20" customHeight="1" spans="1:7">
      <c r="A119" s="123"/>
      <c r="B119" s="406" t="s">
        <v>405</v>
      </c>
      <c r="C119" s="123" t="s">
        <v>167</v>
      </c>
      <c r="D119" s="298">
        <f>D114+D117</f>
        <v>2692</v>
      </c>
      <c r="E119" s="425">
        <v>3.9</v>
      </c>
      <c r="F119" s="426">
        <f t="shared" si="16"/>
        <v>10498.8</v>
      </c>
      <c r="G119" s="437">
        <f t="shared" si="13"/>
        <v>10498.8</v>
      </c>
    </row>
    <row r="120" ht="20" customHeight="1" spans="1:7">
      <c r="A120" s="486">
        <v>-2</v>
      </c>
      <c r="B120" s="406" t="s">
        <v>357</v>
      </c>
      <c r="C120" s="484" t="s">
        <v>336</v>
      </c>
      <c r="D120" s="484">
        <v>0.1</v>
      </c>
      <c r="E120" s="425">
        <f>F114+F115+F116+F117</f>
        <v>135262.26</v>
      </c>
      <c r="F120" s="426">
        <f t="shared" si="16"/>
        <v>13526.226</v>
      </c>
      <c r="G120" s="437">
        <f t="shared" si="13"/>
        <v>13526.226</v>
      </c>
    </row>
    <row r="121" ht="20" customHeight="1" spans="1:7">
      <c r="A121" s="123" t="s">
        <v>337</v>
      </c>
      <c r="B121" s="406" t="s">
        <v>338</v>
      </c>
      <c r="C121" s="123" t="s">
        <v>248</v>
      </c>
      <c r="D121" s="298"/>
      <c r="E121" s="425"/>
      <c r="F121" s="426">
        <f>SUM(F122:F123)</f>
        <v>45673.54</v>
      </c>
      <c r="G121" s="437">
        <f t="shared" si="13"/>
        <v>0</v>
      </c>
    </row>
    <row r="122" ht="20" customHeight="1" spans="1:7">
      <c r="A122" s="123" t="s">
        <v>248</v>
      </c>
      <c r="B122" s="406" t="s">
        <v>339</v>
      </c>
      <c r="C122" s="123" t="s">
        <v>169</v>
      </c>
      <c r="D122" s="298">
        <v>6820</v>
      </c>
      <c r="E122" s="425">
        <v>3.98</v>
      </c>
      <c r="F122" s="426">
        <f t="shared" ref="F122:F127" si="17">D122*E122</f>
        <v>27143.6</v>
      </c>
      <c r="G122" s="437">
        <f t="shared" si="13"/>
        <v>27143.6</v>
      </c>
    </row>
    <row r="123" ht="20" customHeight="1" spans="1:7">
      <c r="A123" s="123" t="s">
        <v>248</v>
      </c>
      <c r="B123" s="406" t="s">
        <v>340</v>
      </c>
      <c r="C123" s="123" t="s">
        <v>169</v>
      </c>
      <c r="D123" s="298">
        <v>6479</v>
      </c>
      <c r="E123" s="425">
        <v>2.86</v>
      </c>
      <c r="F123" s="426">
        <f t="shared" si="17"/>
        <v>18529.94</v>
      </c>
      <c r="G123" s="437">
        <f t="shared" si="13"/>
        <v>18529.94</v>
      </c>
    </row>
    <row r="124" ht="20" customHeight="1" spans="1:7">
      <c r="A124" s="123" t="s">
        <v>342</v>
      </c>
      <c r="B124" s="406" t="s">
        <v>359</v>
      </c>
      <c r="C124" s="123"/>
      <c r="D124" s="484"/>
      <c r="E124" s="425"/>
      <c r="F124" s="426">
        <f>SUM(F125:F127)</f>
        <v>58480</v>
      </c>
      <c r="G124" s="437">
        <f t="shared" si="13"/>
        <v>0</v>
      </c>
    </row>
    <row r="125" ht="20" customHeight="1" spans="1:7">
      <c r="A125" s="123"/>
      <c r="B125" s="406" t="s">
        <v>360</v>
      </c>
      <c r="C125" s="123" t="s">
        <v>193</v>
      </c>
      <c r="D125" s="298">
        <v>17</v>
      </c>
      <c r="E125" s="425">
        <v>220</v>
      </c>
      <c r="F125" s="426">
        <f t="shared" si="17"/>
        <v>3740</v>
      </c>
      <c r="G125" s="437">
        <f t="shared" si="13"/>
        <v>3740</v>
      </c>
    </row>
    <row r="126" ht="20" customHeight="1" spans="1:7">
      <c r="A126" s="123" t="s">
        <v>248</v>
      </c>
      <c r="B126" s="406" t="s">
        <v>361</v>
      </c>
      <c r="C126" s="123" t="s">
        <v>193</v>
      </c>
      <c r="D126" s="298">
        <f t="shared" ref="D126:D131" si="18">D125</f>
        <v>17</v>
      </c>
      <c r="E126" s="425">
        <f>E125</f>
        <v>220</v>
      </c>
      <c r="F126" s="426">
        <f t="shared" si="17"/>
        <v>3740</v>
      </c>
      <c r="G126" s="437">
        <f t="shared" si="13"/>
        <v>3740</v>
      </c>
    </row>
    <row r="127" ht="20" customHeight="1" spans="1:7">
      <c r="A127" s="123" t="s">
        <v>248</v>
      </c>
      <c r="B127" s="406" t="s">
        <v>406</v>
      </c>
      <c r="C127" s="123" t="s">
        <v>363</v>
      </c>
      <c r="D127" s="298">
        <f t="shared" si="18"/>
        <v>17</v>
      </c>
      <c r="E127" s="425">
        <v>3000</v>
      </c>
      <c r="F127" s="426">
        <f t="shared" si="17"/>
        <v>51000</v>
      </c>
      <c r="G127" s="437">
        <f t="shared" si="13"/>
        <v>51000</v>
      </c>
    </row>
    <row r="128" ht="20" customHeight="1" spans="1:7">
      <c r="A128" s="485" t="s">
        <v>407</v>
      </c>
      <c r="B128" s="406" t="s">
        <v>365</v>
      </c>
      <c r="C128" s="123"/>
      <c r="D128" s="298"/>
      <c r="E128" s="425"/>
      <c r="F128" s="426">
        <f>F129+F132+F133+F136</f>
        <v>29471.1022513159</v>
      </c>
      <c r="G128" s="437">
        <f t="shared" si="13"/>
        <v>0</v>
      </c>
    </row>
    <row r="129" ht="20" customHeight="1" spans="1:7">
      <c r="A129" s="123" t="s">
        <v>329</v>
      </c>
      <c r="B129" s="406" t="s">
        <v>330</v>
      </c>
      <c r="C129" s="123"/>
      <c r="D129" s="298"/>
      <c r="E129" s="425"/>
      <c r="F129" s="426">
        <f>SUM(F130:F131)</f>
        <v>993.72</v>
      </c>
      <c r="G129" s="437">
        <f t="shared" si="13"/>
        <v>0</v>
      </c>
    </row>
    <row r="130" ht="20" customHeight="1" spans="1:7">
      <c r="A130" s="485"/>
      <c r="B130" s="487" t="s">
        <v>367</v>
      </c>
      <c r="C130" s="480" t="s">
        <v>167</v>
      </c>
      <c r="D130" s="298">
        <v>98</v>
      </c>
      <c r="E130" s="425">
        <f>管材!L10</f>
        <v>6.89</v>
      </c>
      <c r="F130" s="426">
        <f t="shared" ref="F130:F132" si="19">D130*E130</f>
        <v>675.22</v>
      </c>
      <c r="G130" s="437">
        <f t="shared" si="13"/>
        <v>675.22</v>
      </c>
    </row>
    <row r="131" ht="20" customHeight="1" spans="1:7">
      <c r="A131" s="485"/>
      <c r="B131" s="487" t="s">
        <v>368</v>
      </c>
      <c r="C131" s="480" t="s">
        <v>167</v>
      </c>
      <c r="D131" s="298">
        <f t="shared" si="18"/>
        <v>98</v>
      </c>
      <c r="E131" s="425">
        <v>3.25</v>
      </c>
      <c r="F131" s="426">
        <f t="shared" si="19"/>
        <v>318.5</v>
      </c>
      <c r="G131" s="437">
        <f t="shared" si="13"/>
        <v>318.5</v>
      </c>
    </row>
    <row r="132" ht="20" customHeight="1" spans="1:7">
      <c r="A132" s="486">
        <v>-2</v>
      </c>
      <c r="B132" s="406" t="s">
        <v>369</v>
      </c>
      <c r="C132" s="484" t="s">
        <v>336</v>
      </c>
      <c r="D132" s="484">
        <v>0.1</v>
      </c>
      <c r="E132" s="425">
        <f>F130</f>
        <v>675.22</v>
      </c>
      <c r="F132" s="426">
        <f t="shared" si="19"/>
        <v>67.522</v>
      </c>
      <c r="G132" s="437">
        <f t="shared" si="13"/>
        <v>67.522</v>
      </c>
    </row>
    <row r="133" ht="20" customHeight="1" spans="1:7">
      <c r="A133" s="123" t="s">
        <v>337</v>
      </c>
      <c r="B133" s="406" t="s">
        <v>338</v>
      </c>
      <c r="C133" s="484"/>
      <c r="D133" s="484"/>
      <c r="E133" s="425"/>
      <c r="F133" s="426">
        <f>SUM(F134:F135)</f>
        <v>889.7</v>
      </c>
      <c r="G133" s="437">
        <f t="shared" si="13"/>
        <v>0</v>
      </c>
    </row>
    <row r="134" ht="20" customHeight="1" spans="1:7">
      <c r="A134" s="485"/>
      <c r="B134" s="406" t="s">
        <v>339</v>
      </c>
      <c r="C134" s="123" t="s">
        <v>307</v>
      </c>
      <c r="D134" s="298">
        <v>133</v>
      </c>
      <c r="E134" s="425">
        <f>E105</f>
        <v>3.98</v>
      </c>
      <c r="F134" s="426">
        <f t="shared" ref="F134:F142" si="20">D134*E134</f>
        <v>529.34</v>
      </c>
      <c r="G134" s="437">
        <f t="shared" si="13"/>
        <v>529.34</v>
      </c>
    </row>
    <row r="135" ht="20" customHeight="1" spans="1:7">
      <c r="A135" s="485"/>
      <c r="B135" s="406" t="s">
        <v>340</v>
      </c>
      <c r="C135" s="123" t="s">
        <v>307</v>
      </c>
      <c r="D135" s="298">
        <v>126</v>
      </c>
      <c r="E135" s="425">
        <f>E106</f>
        <v>2.86</v>
      </c>
      <c r="F135" s="426">
        <f t="shared" si="20"/>
        <v>360.36</v>
      </c>
      <c r="G135" s="437">
        <f t="shared" si="13"/>
        <v>360.36</v>
      </c>
    </row>
    <row r="136" ht="20" customHeight="1" spans="1:7">
      <c r="A136" s="486">
        <v>-4</v>
      </c>
      <c r="B136" s="406" t="s">
        <v>371</v>
      </c>
      <c r="C136" s="123" t="s">
        <v>193</v>
      </c>
      <c r="D136" s="298">
        <v>19</v>
      </c>
      <c r="E136" s="425"/>
      <c r="F136" s="426">
        <f>SUM(F137:F142)</f>
        <v>27520.1602513159</v>
      </c>
      <c r="G136" s="437">
        <f t="shared" si="13"/>
        <v>0</v>
      </c>
    </row>
    <row r="137" ht="20" customHeight="1" spans="1:7">
      <c r="A137" s="485" t="s">
        <v>248</v>
      </c>
      <c r="B137" s="406" t="s">
        <v>372</v>
      </c>
      <c r="C137" s="123" t="s">
        <v>305</v>
      </c>
      <c r="D137" s="298">
        <f>D136</f>
        <v>19</v>
      </c>
      <c r="E137" s="425">
        <f>建筑概算核!H438</f>
        <v>1000</v>
      </c>
      <c r="F137" s="426">
        <f t="shared" si="20"/>
        <v>19000</v>
      </c>
      <c r="G137" s="437">
        <f t="shared" si="13"/>
        <v>19000</v>
      </c>
    </row>
    <row r="138" ht="20" customHeight="1" spans="1:7">
      <c r="A138" s="485" t="s">
        <v>248</v>
      </c>
      <c r="B138" s="406" t="s">
        <v>373</v>
      </c>
      <c r="C138" s="123" t="s">
        <v>307</v>
      </c>
      <c r="D138" s="298">
        <v>11.56</v>
      </c>
      <c r="E138" s="425">
        <f>建筑概算核!H439</f>
        <v>559.23015732759</v>
      </c>
      <c r="F138" s="426">
        <f t="shared" si="20"/>
        <v>6464.70061870694</v>
      </c>
      <c r="G138" s="437">
        <f t="shared" si="13"/>
        <v>6464.70061870694</v>
      </c>
    </row>
    <row r="139" ht="20" customHeight="1" spans="1:7">
      <c r="A139" s="123" t="s">
        <v>248</v>
      </c>
      <c r="B139" s="406" t="s">
        <v>374</v>
      </c>
      <c r="C139" s="123" t="s">
        <v>307</v>
      </c>
      <c r="D139" s="298">
        <v>1.11</v>
      </c>
      <c r="E139" s="425">
        <f>建筑概算核!H440</f>
        <v>128.489047091908</v>
      </c>
      <c r="F139" s="426">
        <f t="shared" si="20"/>
        <v>142.622842272018</v>
      </c>
      <c r="G139" s="437">
        <f t="shared" si="13"/>
        <v>142.622842272018</v>
      </c>
    </row>
    <row r="140" ht="20" customHeight="1" spans="1:7">
      <c r="A140" s="123" t="s">
        <v>248</v>
      </c>
      <c r="B140" s="406" t="s">
        <v>375</v>
      </c>
      <c r="C140" s="123" t="s">
        <v>305</v>
      </c>
      <c r="D140" s="298">
        <f>D136</f>
        <v>19</v>
      </c>
      <c r="E140" s="425">
        <f>建筑概算核!H441</f>
        <v>50</v>
      </c>
      <c r="F140" s="426">
        <f t="shared" si="20"/>
        <v>950</v>
      </c>
      <c r="G140" s="437">
        <f t="shared" si="13"/>
        <v>950</v>
      </c>
    </row>
    <row r="141" ht="20" customHeight="1" spans="1:7">
      <c r="A141" s="123" t="s">
        <v>248</v>
      </c>
      <c r="B141" s="406" t="s">
        <v>376</v>
      </c>
      <c r="C141" s="123" t="s">
        <v>307</v>
      </c>
      <c r="D141" s="298">
        <v>0.51</v>
      </c>
      <c r="E141" s="425">
        <f>建筑概算核!H442</f>
        <v>583.993706543077</v>
      </c>
      <c r="F141" s="426">
        <f t="shared" si="20"/>
        <v>297.836790336969</v>
      </c>
      <c r="G141" s="437">
        <f t="shared" si="13"/>
        <v>297.836790336969</v>
      </c>
    </row>
    <row r="142" ht="20" customHeight="1" spans="1:7">
      <c r="A142" s="123" t="s">
        <v>248</v>
      </c>
      <c r="B142" s="406" t="s">
        <v>377</v>
      </c>
      <c r="C142" s="123" t="s">
        <v>363</v>
      </c>
      <c r="D142" s="298">
        <f>D136</f>
        <v>19</v>
      </c>
      <c r="E142" s="425">
        <f>建筑概算核!H443</f>
        <v>35</v>
      </c>
      <c r="F142" s="426">
        <f t="shared" si="20"/>
        <v>665</v>
      </c>
      <c r="G142" s="437">
        <f t="shared" si="13"/>
        <v>665</v>
      </c>
    </row>
    <row r="143" ht="20" customHeight="1" spans="1:7">
      <c r="A143" s="123" t="s">
        <v>408</v>
      </c>
      <c r="B143" s="406" t="s">
        <v>379</v>
      </c>
      <c r="C143" s="123" t="s">
        <v>248</v>
      </c>
      <c r="D143" s="298"/>
      <c r="E143" s="425"/>
      <c r="F143" s="426">
        <f>SUM(F144:F148)</f>
        <v>159411.612</v>
      </c>
      <c r="G143" s="437">
        <f t="shared" si="13"/>
        <v>0</v>
      </c>
    </row>
    <row r="144" ht="20" customHeight="1" spans="1:7">
      <c r="A144" s="123"/>
      <c r="B144" s="487" t="s">
        <v>380</v>
      </c>
      <c r="C144" s="480" t="s">
        <v>167</v>
      </c>
      <c r="D144" s="298">
        <v>11899</v>
      </c>
      <c r="E144" s="425">
        <f>管材!G37</f>
        <v>9.36</v>
      </c>
      <c r="F144" s="426">
        <f t="shared" ref="F144:F148" si="21">D144*E144</f>
        <v>111374.64</v>
      </c>
      <c r="G144" s="437">
        <f t="shared" si="13"/>
        <v>111374.64</v>
      </c>
    </row>
    <row r="145" ht="20" customHeight="1" spans="1:7">
      <c r="A145" s="123"/>
      <c r="B145" s="406" t="s">
        <v>381</v>
      </c>
      <c r="C145" s="123" t="s">
        <v>167</v>
      </c>
      <c r="D145" s="298">
        <v>2348</v>
      </c>
      <c r="E145" s="425">
        <f>管材!G33</f>
        <v>1.86</v>
      </c>
      <c r="F145" s="426">
        <f t="shared" si="21"/>
        <v>4367.28</v>
      </c>
      <c r="G145" s="437">
        <f t="shared" si="13"/>
        <v>4367.28</v>
      </c>
    </row>
    <row r="146" ht="20" customHeight="1" spans="1:7">
      <c r="A146" s="123"/>
      <c r="B146" s="406" t="s">
        <v>382</v>
      </c>
      <c r="C146" s="123" t="s">
        <v>167</v>
      </c>
      <c r="D146" s="298">
        <f>D144</f>
        <v>11899</v>
      </c>
      <c r="E146" s="425">
        <f>建筑概算核!H447</f>
        <v>2.5</v>
      </c>
      <c r="F146" s="426">
        <f t="shared" si="21"/>
        <v>29747.5</v>
      </c>
      <c r="G146" s="437">
        <f t="shared" si="13"/>
        <v>29747.5</v>
      </c>
    </row>
    <row r="147" ht="20" customHeight="1" spans="1:7">
      <c r="A147" s="123" t="s">
        <v>248</v>
      </c>
      <c r="B147" s="406" t="s">
        <v>383</v>
      </c>
      <c r="C147" s="123" t="s">
        <v>167</v>
      </c>
      <c r="D147" s="298">
        <f>D145</f>
        <v>2348</v>
      </c>
      <c r="E147" s="425">
        <f>建筑概算核!H448</f>
        <v>1</v>
      </c>
      <c r="F147" s="426">
        <f t="shared" si="21"/>
        <v>2348</v>
      </c>
      <c r="G147" s="437">
        <f t="shared" si="13"/>
        <v>2348</v>
      </c>
    </row>
    <row r="148" ht="20" customHeight="1" spans="1:7">
      <c r="A148" s="123"/>
      <c r="B148" s="406" t="s">
        <v>385</v>
      </c>
      <c r="C148" s="484" t="s">
        <v>336</v>
      </c>
      <c r="D148" s="484">
        <v>0.1</v>
      </c>
      <c r="E148" s="425">
        <f>F144+F145</f>
        <v>115741.92</v>
      </c>
      <c r="F148" s="426">
        <f t="shared" si="21"/>
        <v>11574.192</v>
      </c>
      <c r="G148" s="437">
        <f t="shared" si="13"/>
        <v>11574.192</v>
      </c>
    </row>
    <row r="149" ht="20" customHeight="1" spans="1:7">
      <c r="A149" s="123" t="s">
        <v>409</v>
      </c>
      <c r="B149" s="406" t="s">
        <v>387</v>
      </c>
      <c r="C149" s="123" t="s">
        <v>248</v>
      </c>
      <c r="D149" s="425"/>
      <c r="E149" s="425"/>
      <c r="F149" s="426">
        <f>SUM(F150:F151)</f>
        <v>151492</v>
      </c>
      <c r="G149" s="437">
        <f t="shared" si="13"/>
        <v>0</v>
      </c>
    </row>
    <row r="150" ht="20" customHeight="1" spans="1:7">
      <c r="A150" s="123" t="s">
        <v>248</v>
      </c>
      <c r="B150" s="406" t="s">
        <v>388</v>
      </c>
      <c r="C150" s="123" t="s">
        <v>363</v>
      </c>
      <c r="D150" s="425">
        <v>1565</v>
      </c>
      <c r="E150" s="425">
        <f>建筑概算核!H451</f>
        <v>88</v>
      </c>
      <c r="F150" s="426">
        <f>D150*E150</f>
        <v>137720</v>
      </c>
      <c r="G150" s="437">
        <f t="shared" si="13"/>
        <v>137720</v>
      </c>
    </row>
    <row r="151" ht="20" customHeight="1" spans="1:7">
      <c r="A151" s="123" t="s">
        <v>248</v>
      </c>
      <c r="B151" s="406" t="s">
        <v>390</v>
      </c>
      <c r="C151" s="123" t="s">
        <v>363</v>
      </c>
      <c r="D151" s="425">
        <f>D150</f>
        <v>1565</v>
      </c>
      <c r="E151" s="425">
        <f>建筑概算核!H452</f>
        <v>8.8</v>
      </c>
      <c r="F151" s="426">
        <f>D151*E151</f>
        <v>13772</v>
      </c>
      <c r="G151" s="437">
        <f t="shared" si="13"/>
        <v>13772</v>
      </c>
    </row>
    <row r="152" ht="20" customHeight="1" spans="1:7">
      <c r="A152" s="123"/>
      <c r="B152" s="406"/>
      <c r="C152" s="123"/>
      <c r="D152" s="425"/>
      <c r="E152" s="425"/>
      <c r="F152" s="426"/>
      <c r="G152" s="437"/>
    </row>
    <row r="153" ht="20" customHeight="1" spans="1:7">
      <c r="A153" s="123"/>
      <c r="B153" s="406"/>
      <c r="C153" s="123"/>
      <c r="D153" s="425"/>
      <c r="E153" s="425"/>
      <c r="F153" s="426"/>
      <c r="G153" s="437"/>
    </row>
    <row r="154" ht="20" customHeight="1" spans="1:7">
      <c r="A154" s="7"/>
      <c r="B154" s="438"/>
      <c r="C154" s="123"/>
      <c r="D154" s="488"/>
      <c r="E154" s="488"/>
      <c r="F154" s="426"/>
      <c r="G154" s="437"/>
    </row>
    <row r="155" ht="20" customHeight="1" spans="1:7">
      <c r="A155" s="489" t="s">
        <v>418</v>
      </c>
      <c r="B155" s="489"/>
      <c r="C155" s="489"/>
      <c r="D155" s="489"/>
      <c r="E155" s="489"/>
      <c r="F155" s="489"/>
      <c r="G155" s="226"/>
    </row>
    <row r="156" ht="20" customHeight="1" spans="1:7">
      <c r="A156" s="228"/>
      <c r="B156" s="227"/>
      <c r="C156" s="228"/>
      <c r="D156" s="228"/>
      <c r="E156" s="228" t="s">
        <v>419</v>
      </c>
      <c r="F156" s="228"/>
      <c r="G156" s="229"/>
    </row>
    <row r="157" ht="20" customHeight="1" spans="1:7">
      <c r="A157" s="7" t="s">
        <v>104</v>
      </c>
      <c r="B157" s="7" t="s">
        <v>420</v>
      </c>
      <c r="C157" s="7" t="s">
        <v>159</v>
      </c>
      <c r="D157" s="7" t="s">
        <v>421</v>
      </c>
      <c r="E157" s="7" t="s">
        <v>422</v>
      </c>
      <c r="F157" s="7" t="s">
        <v>18</v>
      </c>
      <c r="G157" s="229"/>
    </row>
    <row r="158" ht="20" customHeight="1" spans="1:7">
      <c r="A158" s="7"/>
      <c r="B158" s="11" t="s">
        <v>87</v>
      </c>
      <c r="C158" s="7"/>
      <c r="D158" s="7"/>
      <c r="E158" s="7"/>
      <c r="F158" s="90">
        <f>F159+F165+F167+F168+F171</f>
        <v>277085.771691863</v>
      </c>
      <c r="G158" s="490"/>
    </row>
    <row r="159" ht="20" customHeight="1" spans="1:7">
      <c r="A159" s="7" t="s">
        <v>34</v>
      </c>
      <c r="B159" s="11" t="s">
        <v>423</v>
      </c>
      <c r="C159" s="7"/>
      <c r="D159" s="7"/>
      <c r="E159" s="7"/>
      <c r="F159" s="90">
        <f>F160+F162</f>
        <v>114820.616932589</v>
      </c>
      <c r="G159" s="490"/>
    </row>
    <row r="160" ht="20" customHeight="1" spans="1:7">
      <c r="A160" s="7">
        <v>1</v>
      </c>
      <c r="B160" s="11" t="s">
        <v>424</v>
      </c>
      <c r="C160" s="7" t="s">
        <v>167</v>
      </c>
      <c r="D160" s="7">
        <v>0</v>
      </c>
      <c r="E160" s="69"/>
      <c r="F160" s="90">
        <f>F161</f>
        <v>0</v>
      </c>
      <c r="G160" s="490"/>
    </row>
    <row r="161" ht="20" customHeight="1" spans="1:7">
      <c r="A161" s="7"/>
      <c r="B161" s="487" t="s">
        <v>170</v>
      </c>
      <c r="C161" s="123" t="s">
        <v>169</v>
      </c>
      <c r="D161" s="7">
        <v>0</v>
      </c>
      <c r="E161" s="69">
        <f>单价汇总表!D34/100</f>
        <v>6.17193111109444</v>
      </c>
      <c r="F161" s="90">
        <f t="shared" ref="F161:F164" si="22">D161*E161</f>
        <v>0</v>
      </c>
      <c r="G161" s="490"/>
    </row>
    <row r="162" ht="20" customHeight="1" spans="1:7">
      <c r="A162" s="123">
        <v>2</v>
      </c>
      <c r="B162" s="491" t="s">
        <v>425</v>
      </c>
      <c r="C162" s="7"/>
      <c r="D162" s="7"/>
      <c r="E162" s="69"/>
      <c r="F162" s="90">
        <f>F163+F164</f>
        <v>114820.616932589</v>
      </c>
      <c r="G162" s="490"/>
    </row>
    <row r="163" ht="20" customHeight="1" spans="1:7">
      <c r="A163" s="123"/>
      <c r="B163" s="491" t="s">
        <v>426</v>
      </c>
      <c r="C163" s="7" t="s">
        <v>167</v>
      </c>
      <c r="D163" s="492">
        <v>65</v>
      </c>
      <c r="E163" s="69">
        <v>220</v>
      </c>
      <c r="F163" s="90">
        <f t="shared" si="22"/>
        <v>14300</v>
      </c>
      <c r="G163" s="490"/>
    </row>
    <row r="164" ht="20" customHeight="1" spans="1:7">
      <c r="A164" s="107"/>
      <c r="B164" s="491" t="s">
        <v>427</v>
      </c>
      <c r="C164" s="7" t="s">
        <v>428</v>
      </c>
      <c r="D164" s="492">
        <v>5615</v>
      </c>
      <c r="E164" s="69">
        <f>台时!E294</f>
        <v>17.9021579577184</v>
      </c>
      <c r="F164" s="90">
        <f t="shared" si="22"/>
        <v>100520.616932589</v>
      </c>
      <c r="G164" s="490"/>
    </row>
    <row r="165" ht="20" customHeight="1" spans="1:7">
      <c r="A165" s="7" t="s">
        <v>46</v>
      </c>
      <c r="B165" s="493" t="s">
        <v>429</v>
      </c>
      <c r="C165" s="494"/>
      <c r="D165" s="90"/>
      <c r="E165" s="38"/>
      <c r="F165" s="90">
        <f>F166</f>
        <v>30000</v>
      </c>
      <c r="G165" s="490"/>
    </row>
    <row r="166" ht="20" customHeight="1" spans="1:7">
      <c r="A166" s="7"/>
      <c r="B166" s="493" t="s">
        <v>430</v>
      </c>
      <c r="C166" s="494" t="s">
        <v>229</v>
      </c>
      <c r="D166" s="529">
        <v>1</v>
      </c>
      <c r="E166" s="38">
        <v>30000</v>
      </c>
      <c r="F166" s="90">
        <f t="shared" ref="F166:F169" si="23">D166*E166</f>
        <v>30000</v>
      </c>
      <c r="G166" s="490"/>
    </row>
    <row r="167" ht="20" customHeight="1" spans="1:7">
      <c r="A167" s="7" t="s">
        <v>83</v>
      </c>
      <c r="B167" s="493" t="s">
        <v>431</v>
      </c>
      <c r="C167" s="494" t="s">
        <v>229</v>
      </c>
      <c r="D167" s="118">
        <v>0</v>
      </c>
      <c r="E167" s="38">
        <v>60000</v>
      </c>
      <c r="F167" s="90">
        <f t="shared" si="23"/>
        <v>0</v>
      </c>
      <c r="G167" s="490"/>
    </row>
    <row r="168" ht="20" customHeight="1" spans="1:7">
      <c r="A168" s="7" t="s">
        <v>121</v>
      </c>
      <c r="B168" s="493" t="s">
        <v>432</v>
      </c>
      <c r="C168" s="494"/>
      <c r="D168" s="90"/>
      <c r="E168" s="38"/>
      <c r="F168" s="90">
        <f>F169+F170</f>
        <v>105867.907610611</v>
      </c>
      <c r="G168" s="490"/>
    </row>
    <row r="169" ht="20" customHeight="1" spans="1:7">
      <c r="A169" s="7">
        <v>1</v>
      </c>
      <c r="B169" s="493" t="s">
        <v>433</v>
      </c>
      <c r="C169" s="7" t="s">
        <v>175</v>
      </c>
      <c r="D169" s="497">
        <v>400</v>
      </c>
      <c r="E169" s="38">
        <v>200</v>
      </c>
      <c r="F169" s="90">
        <f t="shared" si="23"/>
        <v>80000</v>
      </c>
      <c r="G169" s="490"/>
    </row>
    <row r="170" ht="20" customHeight="1" spans="1:7">
      <c r="A170" s="7">
        <v>2</v>
      </c>
      <c r="B170" s="493" t="s">
        <v>434</v>
      </c>
      <c r="C170" s="494">
        <v>0.005</v>
      </c>
      <c r="D170" s="90">
        <f>'总（城关）'!C14*10000+F159+F165+F167</f>
        <v>5173581.52212215</v>
      </c>
      <c r="E170" s="38"/>
      <c r="F170" s="90">
        <f>C170*D170</f>
        <v>25867.9076106108</v>
      </c>
      <c r="G170" s="490"/>
    </row>
    <row r="171" ht="20" customHeight="1" spans="1:7">
      <c r="A171" s="7" t="s">
        <v>135</v>
      </c>
      <c r="B171" s="11" t="s">
        <v>435</v>
      </c>
      <c r="C171" s="494"/>
      <c r="D171" s="90"/>
      <c r="E171" s="38"/>
      <c r="F171" s="90">
        <f>F172</f>
        <v>26397.2471486638</v>
      </c>
      <c r="G171" s="490"/>
    </row>
    <row r="172" ht="20" customHeight="1" spans="1:7">
      <c r="A172" s="7">
        <v>1</v>
      </c>
      <c r="B172" s="11" t="s">
        <v>435</v>
      </c>
      <c r="C172" s="494">
        <v>0.005</v>
      </c>
      <c r="D172" s="90">
        <f>D170+F168</f>
        <v>5279449.42973276</v>
      </c>
      <c r="E172" s="38"/>
      <c r="F172" s="90">
        <f>C172*D172</f>
        <v>26397.2471486638</v>
      </c>
      <c r="G172" s="490"/>
    </row>
    <row r="173" ht="20" customHeight="1" spans="1:7">
      <c r="A173" s="7"/>
      <c r="B173" s="11"/>
      <c r="C173" s="494"/>
      <c r="D173" s="90"/>
      <c r="E173" s="38"/>
      <c r="F173" s="90"/>
      <c r="G173" s="490"/>
    </row>
    <row r="174" ht="20" customHeight="1" spans="1:7">
      <c r="A174" s="7"/>
      <c r="B174" s="11"/>
      <c r="C174" s="494"/>
      <c r="D174" s="90"/>
      <c r="E174" s="38"/>
      <c r="F174" s="90"/>
      <c r="G174" s="490"/>
    </row>
    <row r="175" ht="20" customHeight="1" spans="1:7">
      <c r="A175" s="7"/>
      <c r="B175" s="11"/>
      <c r="C175" s="494"/>
      <c r="D175" s="90"/>
      <c r="E175" s="38"/>
      <c r="F175" s="90"/>
      <c r="G175" s="490"/>
    </row>
    <row r="176" ht="20" customHeight="1" spans="1:7">
      <c r="A176" s="7"/>
      <c r="B176" s="11"/>
      <c r="C176" s="53"/>
      <c r="D176" s="90"/>
      <c r="E176" s="7"/>
      <c r="F176" s="90"/>
      <c r="G176" s="490"/>
    </row>
    <row r="177" ht="20" customHeight="1" spans="1:7">
      <c r="A177" s="489" t="s">
        <v>436</v>
      </c>
      <c r="B177" s="489"/>
      <c r="C177" s="489"/>
      <c r="D177" s="489"/>
      <c r="E177" s="489"/>
      <c r="F177" s="489"/>
      <c r="G177" s="226"/>
    </row>
    <row r="178" ht="20" customHeight="1" spans="1:7">
      <c r="A178" s="228"/>
      <c r="B178" s="228"/>
      <c r="C178" s="96"/>
      <c r="D178" s="96"/>
      <c r="E178" s="302"/>
      <c r="F178" s="498" t="s">
        <v>71</v>
      </c>
      <c r="G178" s="498"/>
    </row>
    <row r="179" ht="20" customHeight="1" spans="1:7">
      <c r="A179" s="7" t="s">
        <v>104</v>
      </c>
      <c r="B179" s="7" t="s">
        <v>437</v>
      </c>
      <c r="C179" s="7" t="s">
        <v>159</v>
      </c>
      <c r="D179" s="7" t="s">
        <v>160</v>
      </c>
      <c r="E179" s="34" t="s">
        <v>422</v>
      </c>
      <c r="F179" s="499" t="s">
        <v>156</v>
      </c>
      <c r="G179" s="498"/>
    </row>
    <row r="180" ht="20" customHeight="1" spans="1:7">
      <c r="A180" s="7" t="s">
        <v>34</v>
      </c>
      <c r="B180" s="11" t="s">
        <v>123</v>
      </c>
      <c r="C180" s="7" t="s">
        <v>438</v>
      </c>
      <c r="D180" s="7"/>
      <c r="E180" s="34"/>
      <c r="F180" s="34">
        <f>独立费用!D42</f>
        <v>25.1499835050742</v>
      </c>
      <c r="G180" s="500"/>
    </row>
    <row r="181" ht="20" customHeight="1" spans="1:7">
      <c r="A181" s="7" t="s">
        <v>439</v>
      </c>
      <c r="B181" s="11" t="s">
        <v>440</v>
      </c>
      <c r="C181" s="7" t="s">
        <v>438</v>
      </c>
      <c r="D181" s="53"/>
      <c r="E181" s="34"/>
      <c r="F181" s="34">
        <f>监理费用!E52</f>
        <v>13.7554703120231</v>
      </c>
      <c r="G181" s="500"/>
    </row>
    <row r="182" ht="20" customHeight="1" spans="1:7">
      <c r="A182" s="7" t="s">
        <v>83</v>
      </c>
      <c r="B182" s="11" t="s">
        <v>441</v>
      </c>
      <c r="C182" s="7" t="s">
        <v>438</v>
      </c>
      <c r="D182" s="7"/>
      <c r="E182" s="34"/>
      <c r="F182" s="34">
        <f>SUM(F183:F184)</f>
        <v>28.542835398269</v>
      </c>
      <c r="G182" s="500"/>
    </row>
    <row r="183" ht="20" customHeight="1" spans="1:7">
      <c r="A183" s="7">
        <v>1</v>
      </c>
      <c r="B183" s="11" t="s">
        <v>35</v>
      </c>
      <c r="C183" s="7" t="s">
        <v>438</v>
      </c>
      <c r="D183" s="53"/>
      <c r="E183" s="34"/>
      <c r="F183" s="34">
        <f>设计费!D168+设计费!I144</f>
        <v>15.3359593657571</v>
      </c>
      <c r="G183" s="500"/>
    </row>
    <row r="184" ht="20" customHeight="1" spans="1:7">
      <c r="A184" s="7">
        <v>2</v>
      </c>
      <c r="B184" s="11" t="s">
        <v>442</v>
      </c>
      <c r="C184" s="7" t="s">
        <v>438</v>
      </c>
      <c r="D184" s="53"/>
      <c r="E184" s="34"/>
      <c r="F184" s="34">
        <f>设计费!D207</f>
        <v>13.2068760325118</v>
      </c>
      <c r="G184" s="500"/>
    </row>
    <row r="185" ht="20" customHeight="1" spans="1:7">
      <c r="A185" s="7" t="s">
        <v>121</v>
      </c>
      <c r="B185" s="11" t="s">
        <v>126</v>
      </c>
      <c r="C185" s="7" t="s">
        <v>438</v>
      </c>
      <c r="D185" s="7"/>
      <c r="E185" s="34"/>
      <c r="F185" s="34">
        <f>SUM(F186:F187)</f>
        <v>15.9175400306443</v>
      </c>
      <c r="G185" s="500"/>
    </row>
    <row r="186" ht="20" customHeight="1" spans="1:7">
      <c r="A186" s="7">
        <v>1</v>
      </c>
      <c r="B186" s="11" t="s">
        <v>127</v>
      </c>
      <c r="C186" s="7" t="s">
        <v>438</v>
      </c>
      <c r="D186" s="53">
        <v>0.025</v>
      </c>
      <c r="E186" s="34">
        <f>'总（城关）'!C16</f>
        <v>530.584667688143</v>
      </c>
      <c r="F186" s="34">
        <f>D186*E186</f>
        <v>13.2646166922036</v>
      </c>
      <c r="G186" s="500"/>
    </row>
    <row r="187" ht="20" customHeight="1" spans="1:7">
      <c r="A187" s="7">
        <v>2</v>
      </c>
      <c r="B187" s="11" t="s">
        <v>128</v>
      </c>
      <c r="C187" s="7" t="s">
        <v>438</v>
      </c>
      <c r="D187" s="53">
        <v>0.005</v>
      </c>
      <c r="E187" s="34">
        <f>E186</f>
        <v>530.584667688143</v>
      </c>
      <c r="F187" s="34">
        <f>D187*E187</f>
        <v>2.65292333844071</v>
      </c>
      <c r="G187" s="500"/>
    </row>
    <row r="188" ht="20" customHeight="1" spans="1:7">
      <c r="A188" s="7"/>
      <c r="B188" s="11" t="s">
        <v>156</v>
      </c>
      <c r="C188" s="7"/>
      <c r="D188" s="7"/>
      <c r="E188" s="34"/>
      <c r="F188" s="34">
        <f>F180+F181+F182+F185</f>
        <v>83.3658292460104</v>
      </c>
      <c r="G188" s="500"/>
    </row>
    <row r="189" ht="20" customHeight="1"/>
  </sheetData>
  <mergeCells count="5">
    <mergeCell ref="A155:F155"/>
    <mergeCell ref="E156:F156"/>
    <mergeCell ref="A177:F177"/>
    <mergeCell ref="A178:B178"/>
    <mergeCell ref="A1:F3"/>
  </mergeCells>
  <pageMargins left="0.75" right="0.75" top="1" bottom="1" header="0.5" footer="0.5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66FF"/>
  </sheetPr>
  <dimension ref="A1:K96"/>
  <sheetViews>
    <sheetView zoomScale="110" zoomScaleNormal="110" topLeftCell="A16" workbookViewId="0">
      <selection activeCell="I61" sqref="I61"/>
    </sheetView>
  </sheetViews>
  <sheetFormatPr defaultColWidth="9" defaultRowHeight="14.25"/>
  <cols>
    <col min="1" max="1" width="6.375" style="387" customWidth="1"/>
    <col min="2" max="2" width="27.5" style="323" customWidth="1"/>
    <col min="3" max="3" width="27" style="323" customWidth="1"/>
    <col min="4" max="4" width="6.875" style="229" customWidth="1"/>
    <col min="5" max="5" width="7" style="229" customWidth="1"/>
    <col min="6" max="6" width="7.875" style="229" customWidth="1"/>
    <col min="7" max="7" width="10.125" style="216" customWidth="1"/>
    <col min="8" max="8" width="12.625" style="216"/>
    <col min="9" max="9" width="11.75" style="216" customWidth="1"/>
    <col min="10" max="10" width="12.625"/>
    <col min="11" max="11" width="8.625" customWidth="1"/>
  </cols>
  <sheetData>
    <row r="1" spans="1:9">
      <c r="A1" s="388" t="s">
        <v>611</v>
      </c>
      <c r="B1" s="389"/>
      <c r="C1" s="389"/>
      <c r="D1" s="388"/>
      <c r="E1" s="388"/>
      <c r="F1" s="388"/>
      <c r="G1" s="388"/>
      <c r="H1" s="388"/>
      <c r="I1" s="388"/>
    </row>
    <row r="2" spans="1:9">
      <c r="A2" s="94"/>
      <c r="B2" s="390"/>
      <c r="C2" s="390"/>
      <c r="D2" s="94"/>
      <c r="E2" s="94"/>
      <c r="F2" s="94"/>
      <c r="G2" s="94"/>
      <c r="H2" s="388"/>
      <c r="I2" s="388"/>
    </row>
    <row r="3" spans="1:9">
      <c r="A3" s="7" t="s">
        <v>1</v>
      </c>
      <c r="B3" s="7" t="s">
        <v>444</v>
      </c>
      <c r="C3" s="7" t="s">
        <v>445</v>
      </c>
      <c r="D3" s="7" t="s">
        <v>159</v>
      </c>
      <c r="E3" s="7" t="s">
        <v>160</v>
      </c>
      <c r="F3" s="7" t="s">
        <v>446</v>
      </c>
      <c r="G3" s="7"/>
      <c r="H3" s="7" t="s">
        <v>447</v>
      </c>
      <c r="I3" s="7"/>
    </row>
    <row r="4" spans="1:9">
      <c r="A4" s="7"/>
      <c r="B4" s="7"/>
      <c r="C4" s="7"/>
      <c r="D4" s="7"/>
      <c r="E4" s="7"/>
      <c r="F4" s="7" t="s">
        <v>448</v>
      </c>
      <c r="G4" s="7" t="s">
        <v>449</v>
      </c>
      <c r="H4" s="7" t="s">
        <v>448</v>
      </c>
      <c r="I4" s="7" t="s">
        <v>449</v>
      </c>
    </row>
    <row r="5" spans="1:11">
      <c r="A5" s="5"/>
      <c r="B5" s="391" t="s">
        <v>80</v>
      </c>
      <c r="C5" s="391"/>
      <c r="D5" s="392"/>
      <c r="E5" s="393"/>
      <c r="F5" s="5"/>
      <c r="G5" s="394"/>
      <c r="H5" s="395">
        <f>H6+H29+H52</f>
        <v>24234.36416</v>
      </c>
      <c r="I5" s="395">
        <f>I6+I29+I52</f>
        <v>238641.170111584</v>
      </c>
      <c r="J5" s="416">
        <f>SUM(J8:J84)</f>
        <v>24234.36416</v>
      </c>
      <c r="K5" s="416">
        <f>SUM(K8:K84)</f>
        <v>238641.170111584</v>
      </c>
    </row>
    <row r="6" spans="1:11">
      <c r="A6" s="396" t="s">
        <v>34</v>
      </c>
      <c r="B6" s="397" t="s">
        <v>81</v>
      </c>
      <c r="C6" s="397" t="s">
        <v>248</v>
      </c>
      <c r="D6" s="396"/>
      <c r="E6" s="396"/>
      <c r="F6" s="5"/>
      <c r="G6" s="395"/>
      <c r="H6" s="395">
        <f>H7</f>
        <v>8202.5</v>
      </c>
      <c r="I6" s="395">
        <f>I7</f>
        <v>89027.61125</v>
      </c>
      <c r="J6" s="417"/>
      <c r="K6" s="417"/>
    </row>
    <row r="7" spans="1:11">
      <c r="A7" s="398">
        <v>1</v>
      </c>
      <c r="B7" s="399" t="s">
        <v>247</v>
      </c>
      <c r="C7" s="400"/>
      <c r="D7" s="398"/>
      <c r="E7" s="398"/>
      <c r="F7" s="5"/>
      <c r="G7" s="394"/>
      <c r="H7" s="394">
        <f>SUM(H8:H28)</f>
        <v>8202.5</v>
      </c>
      <c r="I7" s="394">
        <f>SUM(I8:I28)</f>
        <v>89027.61125</v>
      </c>
      <c r="J7" s="62"/>
      <c r="K7" s="62"/>
    </row>
    <row r="8" spans="1:11">
      <c r="A8" s="398"/>
      <c r="B8" s="399" t="s">
        <v>480</v>
      </c>
      <c r="C8" s="401"/>
      <c r="D8" s="7"/>
      <c r="E8" s="123"/>
      <c r="F8" s="90"/>
      <c r="G8" s="394"/>
      <c r="H8" s="394"/>
      <c r="I8" s="394"/>
      <c r="J8" s="416">
        <f t="shared" ref="J8:J55" si="0">E8*F8</f>
        <v>0</v>
      </c>
      <c r="K8" s="62">
        <f t="shared" ref="K8:K45" si="1">E8*G8</f>
        <v>0</v>
      </c>
    </row>
    <row r="9" ht="36" spans="1:11">
      <c r="A9" s="398"/>
      <c r="B9" s="402" t="s">
        <v>481</v>
      </c>
      <c r="C9" s="403" t="s">
        <v>482</v>
      </c>
      <c r="D9" s="404" t="s">
        <v>453</v>
      </c>
      <c r="E9" s="404">
        <v>1</v>
      </c>
      <c r="F9" s="90">
        <f t="shared" ref="F9:F25" si="2">G9*0.1</f>
        <v>382.5</v>
      </c>
      <c r="G9" s="394">
        <f>安装概算核!G26</f>
        <v>3825</v>
      </c>
      <c r="H9" s="394">
        <f t="shared" ref="H9:H25" si="3">E9*F9</f>
        <v>382.5</v>
      </c>
      <c r="I9" s="394">
        <f t="shared" ref="I9:I25" si="4">E9*G9</f>
        <v>3825</v>
      </c>
      <c r="J9" s="416">
        <f t="shared" si="0"/>
        <v>382.5</v>
      </c>
      <c r="K9" s="62">
        <f t="shared" si="1"/>
        <v>3825</v>
      </c>
    </row>
    <row r="10" spans="1:11">
      <c r="A10" s="398"/>
      <c r="B10" s="402" t="s">
        <v>454</v>
      </c>
      <c r="C10" s="403" t="s">
        <v>455</v>
      </c>
      <c r="D10" s="404" t="s">
        <v>453</v>
      </c>
      <c r="E10" s="404">
        <v>1</v>
      </c>
      <c r="F10" s="90">
        <f t="shared" si="2"/>
        <v>60</v>
      </c>
      <c r="G10" s="394">
        <f>安装概算核!G27</f>
        <v>600</v>
      </c>
      <c r="H10" s="394">
        <f t="shared" si="3"/>
        <v>60</v>
      </c>
      <c r="I10" s="394">
        <f t="shared" si="4"/>
        <v>600</v>
      </c>
      <c r="J10" s="416">
        <f t="shared" si="0"/>
        <v>60</v>
      </c>
      <c r="K10" s="62">
        <f t="shared" si="1"/>
        <v>600</v>
      </c>
    </row>
    <row r="11" spans="1:11">
      <c r="A11" s="398"/>
      <c r="B11" s="402" t="s">
        <v>456</v>
      </c>
      <c r="C11" s="403" t="s">
        <v>457</v>
      </c>
      <c r="D11" s="404" t="s">
        <v>453</v>
      </c>
      <c r="E11" s="404">
        <v>1</v>
      </c>
      <c r="F11" s="90">
        <f t="shared" si="2"/>
        <v>690</v>
      </c>
      <c r="G11" s="394">
        <f>安装概算核!G28</f>
        <v>6900</v>
      </c>
      <c r="H11" s="394">
        <f t="shared" si="3"/>
        <v>690</v>
      </c>
      <c r="I11" s="394">
        <f t="shared" si="4"/>
        <v>6900</v>
      </c>
      <c r="J11" s="416">
        <f t="shared" si="0"/>
        <v>690</v>
      </c>
      <c r="K11" s="62">
        <f t="shared" si="1"/>
        <v>6900</v>
      </c>
    </row>
    <row r="12" spans="1:11">
      <c r="A12" s="398"/>
      <c r="B12" s="402" t="s">
        <v>458</v>
      </c>
      <c r="C12" s="403" t="s">
        <v>483</v>
      </c>
      <c r="D12" s="404" t="s">
        <v>453</v>
      </c>
      <c r="E12" s="404">
        <v>1</v>
      </c>
      <c r="F12" s="90">
        <f t="shared" si="2"/>
        <v>36</v>
      </c>
      <c r="G12" s="394">
        <f>安装概算核!G29</f>
        <v>360</v>
      </c>
      <c r="H12" s="394">
        <f t="shared" si="3"/>
        <v>36</v>
      </c>
      <c r="I12" s="394">
        <f t="shared" si="4"/>
        <v>360</v>
      </c>
      <c r="J12" s="416">
        <f t="shared" si="0"/>
        <v>36</v>
      </c>
      <c r="K12" s="62">
        <f t="shared" si="1"/>
        <v>360</v>
      </c>
    </row>
    <row r="13" spans="1:11">
      <c r="A13" s="398"/>
      <c r="B13" s="402" t="s">
        <v>459</v>
      </c>
      <c r="C13" s="403" t="s">
        <v>484</v>
      </c>
      <c r="D13" s="404" t="s">
        <v>453</v>
      </c>
      <c r="E13" s="404">
        <v>1</v>
      </c>
      <c r="F13" s="90">
        <f t="shared" si="2"/>
        <v>640</v>
      </c>
      <c r="G13" s="394">
        <f>安装概算核!G30</f>
        <v>6400</v>
      </c>
      <c r="H13" s="394">
        <f t="shared" si="3"/>
        <v>640</v>
      </c>
      <c r="I13" s="394">
        <f t="shared" si="4"/>
        <v>6400</v>
      </c>
      <c r="J13" s="416">
        <f t="shared" si="0"/>
        <v>640</v>
      </c>
      <c r="K13" s="62">
        <f t="shared" si="1"/>
        <v>6400</v>
      </c>
    </row>
    <row r="14" spans="1:11">
      <c r="A14" s="398"/>
      <c r="B14" s="402" t="s">
        <v>485</v>
      </c>
      <c r="C14" s="403" t="s">
        <v>486</v>
      </c>
      <c r="D14" s="404" t="s">
        <v>305</v>
      </c>
      <c r="E14" s="404">
        <v>1</v>
      </c>
      <c r="F14" s="90">
        <f t="shared" si="2"/>
        <v>1200</v>
      </c>
      <c r="G14" s="394">
        <f>安装概算核!G31</f>
        <v>12000</v>
      </c>
      <c r="H14" s="394">
        <f t="shared" si="3"/>
        <v>1200</v>
      </c>
      <c r="I14" s="394">
        <f t="shared" si="4"/>
        <v>12000</v>
      </c>
      <c r="J14" s="416">
        <f t="shared" si="0"/>
        <v>1200</v>
      </c>
      <c r="K14" s="62">
        <f t="shared" si="1"/>
        <v>12000</v>
      </c>
    </row>
    <row r="15" spans="1:11">
      <c r="A15" s="398"/>
      <c r="B15" s="402" t="s">
        <v>462</v>
      </c>
      <c r="C15" s="403" t="s">
        <v>487</v>
      </c>
      <c r="D15" s="404" t="s">
        <v>453</v>
      </c>
      <c r="E15" s="404">
        <v>1</v>
      </c>
      <c r="F15" s="90">
        <f t="shared" si="2"/>
        <v>155</v>
      </c>
      <c r="G15" s="394">
        <f>安装概算核!G32</f>
        <v>1550</v>
      </c>
      <c r="H15" s="394">
        <f t="shared" si="3"/>
        <v>155</v>
      </c>
      <c r="I15" s="394">
        <f t="shared" si="4"/>
        <v>1550</v>
      </c>
      <c r="J15" s="416">
        <f t="shared" si="0"/>
        <v>155</v>
      </c>
      <c r="K15" s="62">
        <f t="shared" si="1"/>
        <v>1550</v>
      </c>
    </row>
    <row r="16" spans="1:11">
      <c r="A16" s="398"/>
      <c r="B16" s="402" t="s">
        <v>464</v>
      </c>
      <c r="C16" s="403" t="s">
        <v>488</v>
      </c>
      <c r="D16" s="404" t="s">
        <v>453</v>
      </c>
      <c r="E16" s="404">
        <v>1</v>
      </c>
      <c r="F16" s="90">
        <f t="shared" si="2"/>
        <v>36</v>
      </c>
      <c r="G16" s="394">
        <f>安装概算核!G33</f>
        <v>360</v>
      </c>
      <c r="H16" s="394">
        <f t="shared" si="3"/>
        <v>36</v>
      </c>
      <c r="I16" s="394">
        <f t="shared" si="4"/>
        <v>360</v>
      </c>
      <c r="J16" s="416">
        <f t="shared" si="0"/>
        <v>36</v>
      </c>
      <c r="K16" s="62">
        <f t="shared" si="1"/>
        <v>360</v>
      </c>
    </row>
    <row r="17" spans="1:11">
      <c r="A17" s="398"/>
      <c r="B17" s="402" t="s">
        <v>466</v>
      </c>
      <c r="C17" s="403" t="s">
        <v>489</v>
      </c>
      <c r="D17" s="404" t="s">
        <v>453</v>
      </c>
      <c r="E17" s="404">
        <v>1</v>
      </c>
      <c r="F17" s="90">
        <f t="shared" si="2"/>
        <v>60</v>
      </c>
      <c r="G17" s="394">
        <f>安装概算核!G34</f>
        <v>600</v>
      </c>
      <c r="H17" s="394">
        <f t="shared" si="3"/>
        <v>60</v>
      </c>
      <c r="I17" s="394">
        <f t="shared" si="4"/>
        <v>600</v>
      </c>
      <c r="J17" s="416">
        <f t="shared" si="0"/>
        <v>60</v>
      </c>
      <c r="K17" s="62">
        <f t="shared" si="1"/>
        <v>600</v>
      </c>
    </row>
    <row r="18" spans="1:11">
      <c r="A18" s="398"/>
      <c r="B18" s="402" t="s">
        <v>468</v>
      </c>
      <c r="C18" s="403" t="s">
        <v>490</v>
      </c>
      <c r="D18" s="404" t="s">
        <v>305</v>
      </c>
      <c r="E18" s="404">
        <v>1</v>
      </c>
      <c r="F18" s="90">
        <f t="shared" si="2"/>
        <v>79</v>
      </c>
      <c r="G18" s="394">
        <f>安装概算核!G35</f>
        <v>790</v>
      </c>
      <c r="H18" s="394">
        <f t="shared" si="3"/>
        <v>79</v>
      </c>
      <c r="I18" s="394">
        <f t="shared" si="4"/>
        <v>790</v>
      </c>
      <c r="J18" s="416">
        <f t="shared" si="0"/>
        <v>79</v>
      </c>
      <c r="K18" s="62">
        <f t="shared" si="1"/>
        <v>790</v>
      </c>
    </row>
    <row r="19" spans="1:11">
      <c r="A19" s="398"/>
      <c r="B19" s="402" t="s">
        <v>470</v>
      </c>
      <c r="C19" s="403" t="s">
        <v>487</v>
      </c>
      <c r="D19" s="404" t="s">
        <v>453</v>
      </c>
      <c r="E19" s="404">
        <v>1</v>
      </c>
      <c r="F19" s="90">
        <f t="shared" si="2"/>
        <v>550</v>
      </c>
      <c r="G19" s="394">
        <f>安装概算核!G36</f>
        <v>5500</v>
      </c>
      <c r="H19" s="394">
        <f t="shared" si="3"/>
        <v>550</v>
      </c>
      <c r="I19" s="394">
        <f t="shared" si="4"/>
        <v>5500</v>
      </c>
      <c r="J19" s="416">
        <f t="shared" si="0"/>
        <v>550</v>
      </c>
      <c r="K19" s="62">
        <f t="shared" si="1"/>
        <v>5500</v>
      </c>
    </row>
    <row r="20" spans="1:11">
      <c r="A20" s="398"/>
      <c r="B20" s="402" t="s">
        <v>464</v>
      </c>
      <c r="C20" s="403" t="s">
        <v>491</v>
      </c>
      <c r="D20" s="404" t="s">
        <v>453</v>
      </c>
      <c r="E20" s="404">
        <v>1</v>
      </c>
      <c r="F20" s="90">
        <f t="shared" si="2"/>
        <v>36</v>
      </c>
      <c r="G20" s="394">
        <f>安装概算核!G37</f>
        <v>360</v>
      </c>
      <c r="H20" s="394">
        <f t="shared" si="3"/>
        <v>36</v>
      </c>
      <c r="I20" s="394">
        <f t="shared" si="4"/>
        <v>360</v>
      </c>
      <c r="J20" s="416">
        <f t="shared" si="0"/>
        <v>36</v>
      </c>
      <c r="K20" s="62">
        <f t="shared" si="1"/>
        <v>360</v>
      </c>
    </row>
    <row r="21" spans="1:11">
      <c r="A21" s="398"/>
      <c r="B21" s="402" t="s">
        <v>472</v>
      </c>
      <c r="C21" s="403" t="s">
        <v>473</v>
      </c>
      <c r="D21" s="404" t="s">
        <v>453</v>
      </c>
      <c r="E21" s="404">
        <v>1</v>
      </c>
      <c r="F21" s="90">
        <f t="shared" si="2"/>
        <v>1500</v>
      </c>
      <c r="G21" s="394">
        <f>安装概算核!G38</f>
        <v>15000</v>
      </c>
      <c r="H21" s="394">
        <f t="shared" si="3"/>
        <v>1500</v>
      </c>
      <c r="I21" s="394">
        <f t="shared" si="4"/>
        <v>15000</v>
      </c>
      <c r="J21" s="416">
        <f t="shared" si="0"/>
        <v>1500</v>
      </c>
      <c r="K21" s="62">
        <f t="shared" si="1"/>
        <v>15000</v>
      </c>
    </row>
    <row r="22" ht="24" spans="1:11">
      <c r="A22" s="398"/>
      <c r="B22" s="402" t="s">
        <v>474</v>
      </c>
      <c r="C22" s="403" t="s">
        <v>475</v>
      </c>
      <c r="D22" s="404" t="s">
        <v>453</v>
      </c>
      <c r="E22" s="404">
        <v>2</v>
      </c>
      <c r="F22" s="90">
        <f t="shared" si="2"/>
        <v>1050</v>
      </c>
      <c r="G22" s="394">
        <f>安装概算核!G39</f>
        <v>10500</v>
      </c>
      <c r="H22" s="394">
        <f t="shared" si="3"/>
        <v>2100</v>
      </c>
      <c r="I22" s="394">
        <f t="shared" si="4"/>
        <v>21000</v>
      </c>
      <c r="J22" s="416">
        <f t="shared" si="0"/>
        <v>2100</v>
      </c>
      <c r="K22" s="62">
        <f t="shared" si="1"/>
        <v>21000</v>
      </c>
    </row>
    <row r="23" spans="1:11">
      <c r="A23" s="398"/>
      <c r="B23" s="402" t="s">
        <v>476</v>
      </c>
      <c r="C23" s="403" t="s">
        <v>477</v>
      </c>
      <c r="D23" s="404" t="s">
        <v>453</v>
      </c>
      <c r="E23" s="404">
        <v>2</v>
      </c>
      <c r="F23" s="90">
        <f t="shared" si="2"/>
        <v>256</v>
      </c>
      <c r="G23" s="394">
        <f>安装概算核!G40</f>
        <v>2560</v>
      </c>
      <c r="H23" s="394">
        <f t="shared" si="3"/>
        <v>512</v>
      </c>
      <c r="I23" s="394">
        <f t="shared" si="4"/>
        <v>5120</v>
      </c>
      <c r="J23" s="416">
        <f t="shared" si="0"/>
        <v>512</v>
      </c>
      <c r="K23" s="62">
        <f t="shared" si="1"/>
        <v>5120</v>
      </c>
    </row>
    <row r="24" spans="1:11">
      <c r="A24" s="398"/>
      <c r="B24" s="405" t="s">
        <v>478</v>
      </c>
      <c r="C24" s="403" t="s">
        <v>479</v>
      </c>
      <c r="D24" s="404" t="s">
        <v>453</v>
      </c>
      <c r="E24" s="404">
        <v>1</v>
      </c>
      <c r="F24" s="90">
        <f t="shared" si="2"/>
        <v>86</v>
      </c>
      <c r="G24" s="394">
        <f>安装概算核!G41</f>
        <v>860</v>
      </c>
      <c r="H24" s="394">
        <f t="shared" si="3"/>
        <v>86</v>
      </c>
      <c r="I24" s="394">
        <f t="shared" si="4"/>
        <v>860</v>
      </c>
      <c r="J24" s="416">
        <f t="shared" si="0"/>
        <v>86</v>
      </c>
      <c r="K24" s="62">
        <f t="shared" si="1"/>
        <v>860</v>
      </c>
    </row>
    <row r="25" spans="1:11">
      <c r="A25" s="398"/>
      <c r="B25" s="405" t="s">
        <v>478</v>
      </c>
      <c r="C25" s="403" t="s">
        <v>492</v>
      </c>
      <c r="D25" s="404" t="s">
        <v>453</v>
      </c>
      <c r="E25" s="404">
        <v>1</v>
      </c>
      <c r="F25" s="90">
        <f t="shared" si="2"/>
        <v>80</v>
      </c>
      <c r="G25" s="394">
        <f>安装概算核!G42</f>
        <v>800</v>
      </c>
      <c r="H25" s="394">
        <f t="shared" si="3"/>
        <v>80</v>
      </c>
      <c r="I25" s="394">
        <f t="shared" si="4"/>
        <v>800</v>
      </c>
      <c r="J25" s="416">
        <f t="shared" si="0"/>
        <v>80</v>
      </c>
      <c r="K25" s="62">
        <f t="shared" si="1"/>
        <v>800</v>
      </c>
    </row>
    <row r="26" spans="1:11">
      <c r="A26" s="123"/>
      <c r="B26" s="406" t="s">
        <v>495</v>
      </c>
      <c r="C26" s="406"/>
      <c r="D26" s="123"/>
      <c r="E26" s="123"/>
      <c r="F26" s="90"/>
      <c r="G26" s="394"/>
      <c r="H26" s="394"/>
      <c r="I26" s="394"/>
      <c r="J26" s="416">
        <f t="shared" si="0"/>
        <v>0</v>
      </c>
      <c r="K26" s="62">
        <f t="shared" si="1"/>
        <v>0</v>
      </c>
    </row>
    <row r="27" spans="1:11">
      <c r="A27" s="123"/>
      <c r="B27" s="407" t="s">
        <v>612</v>
      </c>
      <c r="C27" s="11" t="s">
        <v>497</v>
      </c>
      <c r="D27" s="7" t="s">
        <v>453</v>
      </c>
      <c r="E27" s="123">
        <v>4</v>
      </c>
      <c r="F27" s="90"/>
      <c r="G27" s="394">
        <v>150</v>
      </c>
      <c r="H27" s="394"/>
      <c r="I27" s="394">
        <f>E27*G27</f>
        <v>600</v>
      </c>
      <c r="J27" s="416">
        <f t="shared" si="0"/>
        <v>0</v>
      </c>
      <c r="K27" s="62">
        <f t="shared" si="1"/>
        <v>600</v>
      </c>
    </row>
    <row r="28" spans="1:11">
      <c r="A28" s="123"/>
      <c r="B28" s="408" t="s">
        <v>498</v>
      </c>
      <c r="C28" s="406"/>
      <c r="D28" s="123"/>
      <c r="E28" s="123"/>
      <c r="F28" s="5"/>
      <c r="G28" s="394"/>
      <c r="H28" s="394"/>
      <c r="I28" s="394">
        <f>SUM(I8:I27)*0.07749</f>
        <v>6402.61125</v>
      </c>
      <c r="J28" s="416">
        <f t="shared" si="0"/>
        <v>0</v>
      </c>
      <c r="K28" s="62">
        <f>I28</f>
        <v>6402.61125</v>
      </c>
    </row>
    <row r="29" spans="1:11">
      <c r="A29" s="5" t="s">
        <v>46</v>
      </c>
      <c r="B29" s="391" t="s">
        <v>82</v>
      </c>
      <c r="C29" s="391"/>
      <c r="D29" s="392"/>
      <c r="E29" s="5"/>
      <c r="F29" s="5"/>
      <c r="G29" s="394"/>
      <c r="H29" s="395">
        <f>H30</f>
        <v>7564.62416</v>
      </c>
      <c r="I29" s="395">
        <f>I30</f>
        <v>82585.558861584</v>
      </c>
      <c r="J29" s="416">
        <f t="shared" si="0"/>
        <v>0</v>
      </c>
      <c r="K29" s="62">
        <f t="shared" ref="K29:K36" si="5">E29*G29</f>
        <v>0</v>
      </c>
    </row>
    <row r="30" spans="1:11">
      <c r="A30" s="123">
        <v>1</v>
      </c>
      <c r="B30" s="399" t="s">
        <v>247</v>
      </c>
      <c r="C30" s="406"/>
      <c r="D30" s="123"/>
      <c r="E30" s="123"/>
      <c r="F30" s="123"/>
      <c r="G30" s="123"/>
      <c r="H30" s="409">
        <f>H31</f>
        <v>7564.62416</v>
      </c>
      <c r="I30" s="409">
        <f>I31</f>
        <v>82585.558861584</v>
      </c>
      <c r="J30" s="416">
        <f t="shared" si="0"/>
        <v>0</v>
      </c>
      <c r="K30" s="62">
        <f t="shared" si="5"/>
        <v>0</v>
      </c>
    </row>
    <row r="31" spans="1:11">
      <c r="A31" s="123">
        <v>1.1</v>
      </c>
      <c r="B31" s="406" t="s">
        <v>535</v>
      </c>
      <c r="C31" s="11"/>
      <c r="D31" s="7"/>
      <c r="E31" s="7"/>
      <c r="F31" s="123"/>
      <c r="G31" s="123"/>
      <c r="H31" s="409">
        <f>SUM(H32:H51)</f>
        <v>7564.62416</v>
      </c>
      <c r="I31" s="409">
        <f>SUM(I32:I51)</f>
        <v>82585.558861584</v>
      </c>
      <c r="J31" s="416">
        <f t="shared" si="0"/>
        <v>0</v>
      </c>
      <c r="K31" s="62">
        <f t="shared" si="5"/>
        <v>0</v>
      </c>
    </row>
    <row r="32" spans="1:11">
      <c r="A32" s="123"/>
      <c r="B32" s="11" t="s">
        <v>500</v>
      </c>
      <c r="C32" s="11" t="s">
        <v>501</v>
      </c>
      <c r="D32" s="7" t="s">
        <v>453</v>
      </c>
      <c r="E32" s="7">
        <v>1</v>
      </c>
      <c r="F32" s="123">
        <f>G32*0.1</f>
        <v>1330</v>
      </c>
      <c r="G32" s="123">
        <f>安装概算核!G87</f>
        <v>13300</v>
      </c>
      <c r="H32" s="409">
        <f>E32*F32</f>
        <v>1330</v>
      </c>
      <c r="I32" s="409">
        <f>E32*G32</f>
        <v>13300</v>
      </c>
      <c r="J32" s="416">
        <f t="shared" si="0"/>
        <v>1330</v>
      </c>
      <c r="K32" s="62">
        <f t="shared" si="5"/>
        <v>13300</v>
      </c>
    </row>
    <row r="33" spans="1:11">
      <c r="A33" s="123"/>
      <c r="B33" s="11" t="s">
        <v>502</v>
      </c>
      <c r="C33" s="11" t="s">
        <v>503</v>
      </c>
      <c r="D33" s="7" t="s">
        <v>504</v>
      </c>
      <c r="E33" s="7">
        <v>1</v>
      </c>
      <c r="F33" s="123">
        <f>G33*0.1</f>
        <v>1500</v>
      </c>
      <c r="G33" s="123">
        <f>安装概算核!G88</f>
        <v>15000</v>
      </c>
      <c r="H33" s="409">
        <f>E33*F33</f>
        <v>1500</v>
      </c>
      <c r="I33" s="409">
        <f>E33*G33</f>
        <v>15000</v>
      </c>
      <c r="J33" s="416">
        <f t="shared" si="0"/>
        <v>1500</v>
      </c>
      <c r="K33" s="62">
        <f t="shared" si="5"/>
        <v>15000</v>
      </c>
    </row>
    <row r="34" spans="1:11">
      <c r="A34" s="123"/>
      <c r="B34" s="11" t="s">
        <v>505</v>
      </c>
      <c r="C34" s="11" t="s">
        <v>506</v>
      </c>
      <c r="D34" s="7" t="s">
        <v>453</v>
      </c>
      <c r="E34" s="7">
        <v>1</v>
      </c>
      <c r="F34" s="123">
        <f>G34*0.1</f>
        <v>865</v>
      </c>
      <c r="G34" s="123">
        <f>安装概算核!G89</f>
        <v>8650</v>
      </c>
      <c r="H34" s="409">
        <f>E34*F34</f>
        <v>865</v>
      </c>
      <c r="I34" s="409">
        <f>E34*G34</f>
        <v>8650</v>
      </c>
      <c r="J34" s="416">
        <f t="shared" si="0"/>
        <v>865</v>
      </c>
      <c r="K34" s="62">
        <f t="shared" si="5"/>
        <v>8650</v>
      </c>
    </row>
    <row r="35" spans="1:11">
      <c r="A35" s="123"/>
      <c r="B35" s="366" t="s">
        <v>599</v>
      </c>
      <c r="C35" s="366" t="s">
        <v>613</v>
      </c>
      <c r="D35" s="384" t="s">
        <v>504</v>
      </c>
      <c r="E35" s="384">
        <v>1</v>
      </c>
      <c r="F35" s="123">
        <f>G35*0.1</f>
        <v>1290</v>
      </c>
      <c r="G35" s="123">
        <f>安装概算核!G90</f>
        <v>12900</v>
      </c>
      <c r="H35" s="409">
        <f>E35*F35</f>
        <v>1290</v>
      </c>
      <c r="I35" s="409">
        <f>E35*G35</f>
        <v>12900</v>
      </c>
      <c r="J35" s="416">
        <f t="shared" si="0"/>
        <v>1290</v>
      </c>
      <c r="K35" s="62">
        <f t="shared" si="5"/>
        <v>12900</v>
      </c>
    </row>
    <row r="36" spans="1:11">
      <c r="A36" s="123"/>
      <c r="B36" s="366" t="s">
        <v>600</v>
      </c>
      <c r="C36" s="366" t="s">
        <v>601</v>
      </c>
      <c r="D36" s="384" t="s">
        <v>453</v>
      </c>
      <c r="E36" s="384">
        <v>1</v>
      </c>
      <c r="F36" s="123">
        <f>G36*0.1</f>
        <v>300</v>
      </c>
      <c r="G36" s="123">
        <v>3000</v>
      </c>
      <c r="H36" s="409">
        <f>E36*F36</f>
        <v>300</v>
      </c>
      <c r="I36" s="409">
        <f>E36*G36</f>
        <v>3000</v>
      </c>
      <c r="J36" s="416">
        <f t="shared" si="0"/>
        <v>300</v>
      </c>
      <c r="K36" s="62">
        <f t="shared" si="5"/>
        <v>3000</v>
      </c>
    </row>
    <row r="37" spans="1:11">
      <c r="A37" s="123"/>
      <c r="B37" s="11" t="s">
        <v>509</v>
      </c>
      <c r="C37" s="11" t="s">
        <v>510</v>
      </c>
      <c r="D37" s="7" t="s">
        <v>511</v>
      </c>
      <c r="E37" s="7">
        <v>40</v>
      </c>
      <c r="F37" s="298">
        <f t="shared" ref="F37:F49" si="6">G37*0.1</f>
        <v>11.233104</v>
      </c>
      <c r="G37" s="298">
        <f>安装概算核!G91</f>
        <v>112.33104</v>
      </c>
      <c r="H37" s="409">
        <f t="shared" ref="H37:H49" si="7">E37*F37</f>
        <v>449.32416</v>
      </c>
      <c r="I37" s="409">
        <f t="shared" ref="I37:I50" si="8">E37*G37</f>
        <v>4493.2416</v>
      </c>
      <c r="J37" s="416">
        <f t="shared" ref="J37:J49" si="9">E37*F37</f>
        <v>449.32416</v>
      </c>
      <c r="K37" s="62">
        <f t="shared" ref="K37:K50" si="10">E37*G37</f>
        <v>4493.2416</v>
      </c>
    </row>
    <row r="38" spans="1:11">
      <c r="A38" s="123"/>
      <c r="B38" s="11" t="s">
        <v>509</v>
      </c>
      <c r="C38" s="11" t="s">
        <v>512</v>
      </c>
      <c r="D38" s="7" t="s">
        <v>511</v>
      </c>
      <c r="E38" s="7">
        <v>30</v>
      </c>
      <c r="F38" s="298">
        <f t="shared" si="6"/>
        <v>5.359312</v>
      </c>
      <c r="G38" s="298">
        <f>安装概算核!G92</f>
        <v>53.59312</v>
      </c>
      <c r="H38" s="409">
        <f t="shared" si="7"/>
        <v>160.77936</v>
      </c>
      <c r="I38" s="409">
        <f t="shared" si="8"/>
        <v>1607.7936</v>
      </c>
      <c r="J38" s="416">
        <f t="shared" si="9"/>
        <v>160.77936</v>
      </c>
      <c r="K38" s="62">
        <f t="shared" si="10"/>
        <v>1607.7936</v>
      </c>
    </row>
    <row r="39" spans="1:11">
      <c r="A39" s="123"/>
      <c r="B39" s="11" t="s">
        <v>509</v>
      </c>
      <c r="C39" s="11" t="s">
        <v>513</v>
      </c>
      <c r="D39" s="7" t="s">
        <v>511</v>
      </c>
      <c r="E39" s="7">
        <v>60</v>
      </c>
      <c r="F39" s="298">
        <f t="shared" si="6"/>
        <v>2.225344</v>
      </c>
      <c r="G39" s="298">
        <f>安装概算核!G93</f>
        <v>22.25344</v>
      </c>
      <c r="H39" s="409">
        <f t="shared" si="7"/>
        <v>133.52064</v>
      </c>
      <c r="I39" s="409">
        <f t="shared" si="8"/>
        <v>1335.2064</v>
      </c>
      <c r="J39" s="416">
        <f t="shared" si="9"/>
        <v>133.52064</v>
      </c>
      <c r="K39" s="62">
        <f t="shared" si="10"/>
        <v>1335.2064</v>
      </c>
    </row>
    <row r="40" spans="1:11">
      <c r="A40" s="123"/>
      <c r="B40" s="11" t="s">
        <v>514</v>
      </c>
      <c r="C40" s="11" t="s">
        <v>515</v>
      </c>
      <c r="D40" s="7" t="s">
        <v>511</v>
      </c>
      <c r="E40" s="7">
        <v>150</v>
      </c>
      <c r="F40" s="298">
        <f t="shared" si="6"/>
        <v>0.26</v>
      </c>
      <c r="G40" s="123">
        <f>安装概算核!G94</f>
        <v>2.6</v>
      </c>
      <c r="H40" s="409">
        <f t="shared" si="7"/>
        <v>39</v>
      </c>
      <c r="I40" s="409">
        <f t="shared" si="8"/>
        <v>390</v>
      </c>
      <c r="J40" s="416">
        <f t="shared" si="9"/>
        <v>39</v>
      </c>
      <c r="K40" s="62">
        <f t="shared" si="10"/>
        <v>390</v>
      </c>
    </row>
    <row r="41" spans="1:11">
      <c r="A41" s="123"/>
      <c r="B41" s="11" t="s">
        <v>514</v>
      </c>
      <c r="C41" s="11" t="s">
        <v>516</v>
      </c>
      <c r="D41" s="7" t="s">
        <v>511</v>
      </c>
      <c r="E41" s="7">
        <v>50</v>
      </c>
      <c r="F41" s="298">
        <f t="shared" si="6"/>
        <v>0.42</v>
      </c>
      <c r="G41" s="123">
        <f>安装概算核!G95</f>
        <v>4.2</v>
      </c>
      <c r="H41" s="409">
        <f t="shared" si="7"/>
        <v>21</v>
      </c>
      <c r="I41" s="409">
        <f t="shared" si="8"/>
        <v>210</v>
      </c>
      <c r="J41" s="416">
        <f t="shared" si="9"/>
        <v>21</v>
      </c>
      <c r="K41" s="62">
        <f t="shared" si="10"/>
        <v>210</v>
      </c>
    </row>
    <row r="42" spans="1:11">
      <c r="A42" s="123"/>
      <c r="B42" s="11" t="s">
        <v>517</v>
      </c>
      <c r="C42" s="11"/>
      <c r="D42" s="7" t="s">
        <v>518</v>
      </c>
      <c r="E42" s="7">
        <v>15</v>
      </c>
      <c r="F42" s="298">
        <f t="shared" si="6"/>
        <v>5</v>
      </c>
      <c r="G42" s="123">
        <f>安装概算核!G96</f>
        <v>50</v>
      </c>
      <c r="H42" s="409">
        <f t="shared" si="7"/>
        <v>75</v>
      </c>
      <c r="I42" s="409">
        <f t="shared" si="8"/>
        <v>750</v>
      </c>
      <c r="J42" s="416">
        <f t="shared" si="9"/>
        <v>75</v>
      </c>
      <c r="K42" s="62">
        <f t="shared" si="10"/>
        <v>750</v>
      </c>
    </row>
    <row r="43" spans="1:11">
      <c r="A43" s="123"/>
      <c r="B43" s="11" t="s">
        <v>519</v>
      </c>
      <c r="C43" s="11" t="s">
        <v>520</v>
      </c>
      <c r="D43" s="7" t="s">
        <v>511</v>
      </c>
      <c r="E43" s="7">
        <v>150</v>
      </c>
      <c r="F43" s="298">
        <f t="shared" si="6"/>
        <v>1.5</v>
      </c>
      <c r="G43" s="123">
        <f>安装概算核!G97</f>
        <v>15</v>
      </c>
      <c r="H43" s="409">
        <f t="shared" si="7"/>
        <v>225</v>
      </c>
      <c r="I43" s="409">
        <f t="shared" si="8"/>
        <v>2250</v>
      </c>
      <c r="J43" s="416">
        <f t="shared" si="9"/>
        <v>225</v>
      </c>
      <c r="K43" s="62">
        <f t="shared" si="10"/>
        <v>2250</v>
      </c>
    </row>
    <row r="44" spans="1:11">
      <c r="A44" s="123"/>
      <c r="B44" s="11" t="s">
        <v>521</v>
      </c>
      <c r="C44" s="11" t="s">
        <v>522</v>
      </c>
      <c r="D44" s="7" t="s">
        <v>511</v>
      </c>
      <c r="E44" s="7">
        <v>300</v>
      </c>
      <c r="F44" s="298">
        <f t="shared" si="6"/>
        <v>2</v>
      </c>
      <c r="G44" s="123">
        <f>安装概算核!G98</f>
        <v>20</v>
      </c>
      <c r="H44" s="409">
        <f t="shared" si="7"/>
        <v>600</v>
      </c>
      <c r="I44" s="409">
        <f t="shared" si="8"/>
        <v>6000</v>
      </c>
      <c r="J44" s="416">
        <f t="shared" si="9"/>
        <v>600</v>
      </c>
      <c r="K44" s="62">
        <f t="shared" si="10"/>
        <v>6000</v>
      </c>
    </row>
    <row r="45" spans="1:11">
      <c r="A45" s="123"/>
      <c r="B45" s="11" t="s">
        <v>523</v>
      </c>
      <c r="C45" s="11" t="s">
        <v>524</v>
      </c>
      <c r="D45" s="7" t="s">
        <v>525</v>
      </c>
      <c r="E45" s="7">
        <v>2</v>
      </c>
      <c r="F45" s="298">
        <f t="shared" si="6"/>
        <v>6.5</v>
      </c>
      <c r="G45" s="123">
        <f>安装概算核!G99</f>
        <v>65</v>
      </c>
      <c r="H45" s="409">
        <f t="shared" si="7"/>
        <v>13</v>
      </c>
      <c r="I45" s="409">
        <f t="shared" si="8"/>
        <v>130</v>
      </c>
      <c r="J45" s="416">
        <f t="shared" si="9"/>
        <v>13</v>
      </c>
      <c r="K45" s="62">
        <f t="shared" si="10"/>
        <v>130</v>
      </c>
    </row>
    <row r="46" spans="1:11">
      <c r="A46" s="123"/>
      <c r="B46" s="11" t="s">
        <v>526</v>
      </c>
      <c r="C46" s="11" t="s">
        <v>527</v>
      </c>
      <c r="D46" s="7" t="s">
        <v>511</v>
      </c>
      <c r="E46" s="7">
        <v>20</v>
      </c>
      <c r="F46" s="298">
        <f t="shared" si="6"/>
        <v>8.5</v>
      </c>
      <c r="G46" s="123">
        <f>安装概算核!G100</f>
        <v>85</v>
      </c>
      <c r="H46" s="409">
        <f t="shared" si="7"/>
        <v>170</v>
      </c>
      <c r="I46" s="409">
        <f t="shared" si="8"/>
        <v>1700</v>
      </c>
      <c r="J46" s="416">
        <f t="shared" si="9"/>
        <v>170</v>
      </c>
      <c r="K46" s="62">
        <f t="shared" si="10"/>
        <v>1700</v>
      </c>
    </row>
    <row r="47" spans="1:11">
      <c r="A47" s="123"/>
      <c r="B47" s="11" t="s">
        <v>526</v>
      </c>
      <c r="C47" s="11" t="s">
        <v>528</v>
      </c>
      <c r="D47" s="7" t="s">
        <v>511</v>
      </c>
      <c r="E47" s="7">
        <v>20</v>
      </c>
      <c r="F47" s="298">
        <f t="shared" si="6"/>
        <v>4.5</v>
      </c>
      <c r="G47" s="123">
        <f>安装概算核!G101</f>
        <v>45</v>
      </c>
      <c r="H47" s="409">
        <f t="shared" si="7"/>
        <v>90</v>
      </c>
      <c r="I47" s="409">
        <f t="shared" si="8"/>
        <v>900</v>
      </c>
      <c r="J47" s="416">
        <f t="shared" si="9"/>
        <v>90</v>
      </c>
      <c r="K47" s="62">
        <f t="shared" si="10"/>
        <v>900</v>
      </c>
    </row>
    <row r="48" spans="1:11">
      <c r="A48" s="123"/>
      <c r="B48" s="11" t="s">
        <v>526</v>
      </c>
      <c r="C48" s="11" t="s">
        <v>529</v>
      </c>
      <c r="D48" s="7" t="s">
        <v>511</v>
      </c>
      <c r="E48" s="7">
        <v>80</v>
      </c>
      <c r="F48" s="298">
        <f t="shared" si="6"/>
        <v>3</v>
      </c>
      <c r="G48" s="123">
        <f>安装概算核!G102</f>
        <v>30</v>
      </c>
      <c r="H48" s="409">
        <f t="shared" si="7"/>
        <v>240</v>
      </c>
      <c r="I48" s="409">
        <f t="shared" si="8"/>
        <v>2400</v>
      </c>
      <c r="J48" s="416">
        <f t="shared" si="9"/>
        <v>240</v>
      </c>
      <c r="K48" s="62">
        <f t="shared" si="10"/>
        <v>2400</v>
      </c>
    </row>
    <row r="49" spans="1:11">
      <c r="A49" s="123"/>
      <c r="B49" s="11" t="s">
        <v>530</v>
      </c>
      <c r="C49" s="11" t="s">
        <v>531</v>
      </c>
      <c r="D49" s="7" t="s">
        <v>511</v>
      </c>
      <c r="E49" s="7">
        <v>300</v>
      </c>
      <c r="F49" s="298">
        <f t="shared" si="6"/>
        <v>0.21</v>
      </c>
      <c r="G49" s="123">
        <f>安装概算核!G103</f>
        <v>2.1</v>
      </c>
      <c r="H49" s="409">
        <f t="shared" si="7"/>
        <v>63</v>
      </c>
      <c r="I49" s="409">
        <f t="shared" si="8"/>
        <v>630</v>
      </c>
      <c r="J49" s="416">
        <f t="shared" si="9"/>
        <v>63</v>
      </c>
      <c r="K49" s="62">
        <f t="shared" si="10"/>
        <v>630</v>
      </c>
    </row>
    <row r="50" spans="1:11">
      <c r="A50" s="123"/>
      <c r="B50" s="11" t="s">
        <v>532</v>
      </c>
      <c r="C50" s="11" t="s">
        <v>533</v>
      </c>
      <c r="D50" s="7" t="s">
        <v>305</v>
      </c>
      <c r="E50" s="7">
        <v>1</v>
      </c>
      <c r="F50" s="298"/>
      <c r="G50" s="298">
        <v>1000</v>
      </c>
      <c r="H50" s="409"/>
      <c r="I50" s="409">
        <f t="shared" si="8"/>
        <v>1000</v>
      </c>
      <c r="J50" s="416"/>
      <c r="K50" s="62">
        <f t="shared" si="10"/>
        <v>1000</v>
      </c>
    </row>
    <row r="51" ht="20" customHeight="1" spans="1:11">
      <c r="A51" s="123"/>
      <c r="B51" s="11" t="s">
        <v>534</v>
      </c>
      <c r="C51" s="11"/>
      <c r="D51" s="7"/>
      <c r="E51" s="7"/>
      <c r="F51" s="123"/>
      <c r="G51" s="123"/>
      <c r="H51" s="409"/>
      <c r="I51" s="409">
        <f>SUM(I32:I50)*0.07749</f>
        <v>5939.317261584</v>
      </c>
      <c r="J51" s="416">
        <f t="shared" ref="J51:J59" si="11">E51*F51</f>
        <v>0</v>
      </c>
      <c r="K51" s="62">
        <f>I51</f>
        <v>5939.317261584</v>
      </c>
    </row>
    <row r="52" ht="20" customHeight="1" spans="1:11">
      <c r="A52" s="5" t="s">
        <v>83</v>
      </c>
      <c r="B52" s="391" t="s">
        <v>84</v>
      </c>
      <c r="C52" s="391"/>
      <c r="D52" s="392"/>
      <c r="E52" s="393"/>
      <c r="F52" s="5"/>
      <c r="G52" s="394"/>
      <c r="H52" s="395">
        <f>H53+H68+H74</f>
        <v>8467.24</v>
      </c>
      <c r="I52" s="395">
        <f>I53+I68+I74</f>
        <v>67028</v>
      </c>
      <c r="J52" s="416">
        <f t="shared" si="11"/>
        <v>0</v>
      </c>
      <c r="K52" s="62">
        <f t="shared" ref="K52:K59" si="12">E52*G52</f>
        <v>0</v>
      </c>
    </row>
    <row r="53" ht="20" customHeight="1" spans="1:11">
      <c r="A53" s="5" t="s">
        <v>539</v>
      </c>
      <c r="B53" s="391" t="s">
        <v>540</v>
      </c>
      <c r="C53" s="391"/>
      <c r="D53" s="392"/>
      <c r="E53" s="393"/>
      <c r="F53" s="5"/>
      <c r="G53" s="394"/>
      <c r="H53" s="395">
        <f>H54</f>
        <v>3902</v>
      </c>
      <c r="I53" s="395">
        <f>I54</f>
        <v>31900</v>
      </c>
      <c r="J53" s="416">
        <f t="shared" si="11"/>
        <v>0</v>
      </c>
      <c r="K53" s="62">
        <f t="shared" si="12"/>
        <v>0</v>
      </c>
    </row>
    <row r="54" ht="20" customHeight="1" spans="1:11">
      <c r="A54" s="7">
        <v>1</v>
      </c>
      <c r="B54" s="11" t="s">
        <v>480</v>
      </c>
      <c r="C54" s="11"/>
      <c r="D54" s="410"/>
      <c r="E54" s="7"/>
      <c r="F54" s="7"/>
      <c r="G54" s="394"/>
      <c r="H54" s="394">
        <f>H55+H63</f>
        <v>3902</v>
      </c>
      <c r="I54" s="394">
        <f>I55+I63</f>
        <v>31900</v>
      </c>
      <c r="J54" s="416">
        <f t="shared" si="11"/>
        <v>0</v>
      </c>
      <c r="K54" s="62">
        <f t="shared" si="12"/>
        <v>0</v>
      </c>
    </row>
    <row r="55" ht="20" customHeight="1" spans="1:11">
      <c r="A55" s="411">
        <v>1.1</v>
      </c>
      <c r="B55" s="412" t="s">
        <v>560</v>
      </c>
      <c r="C55" s="11"/>
      <c r="D55" s="411"/>
      <c r="E55" s="411"/>
      <c r="F55" s="7"/>
      <c r="G55" s="394"/>
      <c r="H55" s="394">
        <f>SUM(H56:H62)</f>
        <v>2474</v>
      </c>
      <c r="I55" s="394">
        <f>SUM(I56:I62)</f>
        <v>25300</v>
      </c>
      <c r="J55" s="416">
        <f t="shared" si="11"/>
        <v>0</v>
      </c>
      <c r="K55" s="62">
        <f t="shared" si="12"/>
        <v>0</v>
      </c>
    </row>
    <row r="56" ht="20" customHeight="1" spans="1:11">
      <c r="A56" s="413"/>
      <c r="B56" s="414" t="s">
        <v>542</v>
      </c>
      <c r="C56" s="406" t="s">
        <v>543</v>
      </c>
      <c r="D56" s="413" t="s">
        <v>453</v>
      </c>
      <c r="E56" s="413">
        <v>1</v>
      </c>
      <c r="F56" s="7">
        <f>G56*0.08</f>
        <v>1200</v>
      </c>
      <c r="G56" s="394">
        <f>安装概算核!G142</f>
        <v>15000</v>
      </c>
      <c r="H56" s="394">
        <f t="shared" ref="H56:H62" si="13">E56*F56</f>
        <v>1200</v>
      </c>
      <c r="I56" s="394">
        <f t="shared" ref="I56:I62" si="14">E56*G56</f>
        <v>15000</v>
      </c>
      <c r="J56" s="416">
        <f t="shared" si="11"/>
        <v>1200</v>
      </c>
      <c r="K56" s="62">
        <f t="shared" si="12"/>
        <v>15000</v>
      </c>
    </row>
    <row r="57" ht="20" customHeight="1" spans="1:11">
      <c r="A57" s="413"/>
      <c r="B57" s="414" t="s">
        <v>544</v>
      </c>
      <c r="C57" s="414" t="s">
        <v>545</v>
      </c>
      <c r="D57" s="413" t="s">
        <v>305</v>
      </c>
      <c r="E57" s="413">
        <v>3</v>
      </c>
      <c r="F57" s="7">
        <f>G57*0.08</f>
        <v>160</v>
      </c>
      <c r="G57" s="394">
        <f>安装概算核!G143</f>
        <v>2000</v>
      </c>
      <c r="H57" s="394">
        <f t="shared" si="13"/>
        <v>480</v>
      </c>
      <c r="I57" s="394">
        <f t="shared" si="14"/>
        <v>6000</v>
      </c>
      <c r="J57" s="416">
        <f t="shared" si="11"/>
        <v>480</v>
      </c>
      <c r="K57" s="62">
        <f t="shared" si="12"/>
        <v>6000</v>
      </c>
    </row>
    <row r="58" ht="20" customHeight="1" spans="1:11">
      <c r="A58" s="413"/>
      <c r="B58" s="366" t="s">
        <v>602</v>
      </c>
      <c r="C58" s="415" t="s">
        <v>603</v>
      </c>
      <c r="D58" s="384" t="s">
        <v>453</v>
      </c>
      <c r="E58" s="384">
        <v>1</v>
      </c>
      <c r="F58" s="7">
        <f>G58*0.08</f>
        <v>176</v>
      </c>
      <c r="G58" s="394">
        <v>2200</v>
      </c>
      <c r="H58" s="394">
        <f t="shared" si="13"/>
        <v>176</v>
      </c>
      <c r="I58" s="394">
        <f t="shared" si="14"/>
        <v>2200</v>
      </c>
      <c r="J58" s="416">
        <f t="shared" si="11"/>
        <v>176</v>
      </c>
      <c r="K58" s="62">
        <f t="shared" si="12"/>
        <v>2200</v>
      </c>
    </row>
    <row r="59" ht="20" customHeight="1" spans="1:11">
      <c r="A59" s="413"/>
      <c r="B59" s="366" t="s">
        <v>604</v>
      </c>
      <c r="C59" s="415" t="s">
        <v>605</v>
      </c>
      <c r="D59" s="384" t="s">
        <v>453</v>
      </c>
      <c r="E59" s="384">
        <v>1</v>
      </c>
      <c r="F59" s="7">
        <f>G59*0.08</f>
        <v>120</v>
      </c>
      <c r="G59" s="394">
        <v>1500</v>
      </c>
      <c r="H59" s="394">
        <f t="shared" si="13"/>
        <v>120</v>
      </c>
      <c r="I59" s="394">
        <f t="shared" si="14"/>
        <v>1500</v>
      </c>
      <c r="J59" s="416">
        <f t="shared" si="11"/>
        <v>120</v>
      </c>
      <c r="K59" s="62">
        <f t="shared" si="12"/>
        <v>1500</v>
      </c>
    </row>
    <row r="60" ht="20" customHeight="1" spans="1:11">
      <c r="A60" s="413"/>
      <c r="B60" s="11" t="s">
        <v>546</v>
      </c>
      <c r="C60" s="11" t="s">
        <v>547</v>
      </c>
      <c r="D60" s="413" t="s">
        <v>548</v>
      </c>
      <c r="E60" s="413">
        <v>1</v>
      </c>
      <c r="F60" s="7">
        <v>450</v>
      </c>
      <c r="G60" s="394"/>
      <c r="H60" s="394">
        <f t="shared" si="13"/>
        <v>450</v>
      </c>
      <c r="I60" s="394">
        <f t="shared" si="14"/>
        <v>0</v>
      </c>
      <c r="J60" s="416">
        <f t="shared" ref="J60:J84" si="15">E60*F60</f>
        <v>450</v>
      </c>
      <c r="K60" s="62">
        <f t="shared" ref="K60:K73" si="16">E60*G60</f>
        <v>0</v>
      </c>
    </row>
    <row r="61" ht="20" customHeight="1" spans="1:11">
      <c r="A61" s="413"/>
      <c r="B61" s="414" t="s">
        <v>549</v>
      </c>
      <c r="C61" s="414" t="s">
        <v>550</v>
      </c>
      <c r="D61" s="413" t="s">
        <v>336</v>
      </c>
      <c r="E61" s="413">
        <v>1</v>
      </c>
      <c r="F61" s="7">
        <f>G61*0.08</f>
        <v>24</v>
      </c>
      <c r="G61" s="394">
        <v>300</v>
      </c>
      <c r="H61" s="394">
        <f t="shared" si="13"/>
        <v>24</v>
      </c>
      <c r="I61" s="394">
        <f t="shared" si="14"/>
        <v>300</v>
      </c>
      <c r="J61" s="416">
        <f t="shared" si="15"/>
        <v>24</v>
      </c>
      <c r="K61" s="62">
        <f t="shared" si="16"/>
        <v>300</v>
      </c>
    </row>
    <row r="62" ht="20" customHeight="1" spans="1:11">
      <c r="A62" s="413"/>
      <c r="B62" s="414" t="s">
        <v>551</v>
      </c>
      <c r="C62" s="414" t="s">
        <v>552</v>
      </c>
      <c r="D62" s="413" t="s">
        <v>553</v>
      </c>
      <c r="E62" s="413">
        <v>1</v>
      </c>
      <c r="F62" s="7">
        <f>G62*0.08</f>
        <v>24</v>
      </c>
      <c r="G62" s="394">
        <v>300</v>
      </c>
      <c r="H62" s="394">
        <f t="shared" si="13"/>
        <v>24</v>
      </c>
      <c r="I62" s="394">
        <f t="shared" si="14"/>
        <v>300</v>
      </c>
      <c r="J62" s="416">
        <f t="shared" si="15"/>
        <v>24</v>
      </c>
      <c r="K62" s="62">
        <f t="shared" si="16"/>
        <v>300</v>
      </c>
    </row>
    <row r="63" ht="20" customHeight="1" spans="1:11">
      <c r="A63" s="7">
        <v>1.2</v>
      </c>
      <c r="B63" s="11" t="s">
        <v>561</v>
      </c>
      <c r="C63" s="11"/>
      <c r="D63" s="410"/>
      <c r="E63" s="7"/>
      <c r="F63" s="7"/>
      <c r="G63" s="394"/>
      <c r="H63" s="394">
        <f>SUM(H64:H67)</f>
        <v>1428</v>
      </c>
      <c r="I63" s="394">
        <f>SUM(I64:I67)</f>
        <v>6600</v>
      </c>
      <c r="J63" s="416">
        <f t="shared" si="15"/>
        <v>0</v>
      </c>
      <c r="K63" s="62">
        <f t="shared" si="16"/>
        <v>0</v>
      </c>
    </row>
    <row r="64" ht="20" customHeight="1" spans="1:11">
      <c r="A64" s="7"/>
      <c r="B64" s="414" t="s">
        <v>555</v>
      </c>
      <c r="C64" s="414" t="s">
        <v>556</v>
      </c>
      <c r="D64" s="413" t="s">
        <v>453</v>
      </c>
      <c r="E64" s="413">
        <v>1</v>
      </c>
      <c r="F64" s="7">
        <f t="shared" ref="F64:F67" si="17">G64*0.08</f>
        <v>240</v>
      </c>
      <c r="G64" s="394">
        <v>3000</v>
      </c>
      <c r="H64" s="394">
        <f t="shared" ref="H64:H67" si="18">E64*F64</f>
        <v>240</v>
      </c>
      <c r="I64" s="394">
        <f t="shared" ref="I64:I67" si="19">E64*G64</f>
        <v>3000</v>
      </c>
      <c r="J64" s="416">
        <f t="shared" si="15"/>
        <v>240</v>
      </c>
      <c r="K64" s="62">
        <f t="shared" si="16"/>
        <v>3000</v>
      </c>
    </row>
    <row r="65" ht="20" customHeight="1" spans="1:11">
      <c r="A65" s="7"/>
      <c r="B65" s="414" t="s">
        <v>555</v>
      </c>
      <c r="C65" s="414" t="s">
        <v>557</v>
      </c>
      <c r="D65" s="413" t="s">
        <v>453</v>
      </c>
      <c r="E65" s="413">
        <v>1</v>
      </c>
      <c r="F65" s="7">
        <f t="shared" si="17"/>
        <v>240</v>
      </c>
      <c r="G65" s="394">
        <v>3000</v>
      </c>
      <c r="H65" s="394">
        <f t="shared" si="18"/>
        <v>240</v>
      </c>
      <c r="I65" s="394">
        <f t="shared" si="19"/>
        <v>3000</v>
      </c>
      <c r="J65" s="416">
        <f t="shared" si="15"/>
        <v>240</v>
      </c>
      <c r="K65" s="62">
        <f t="shared" si="16"/>
        <v>3000</v>
      </c>
    </row>
    <row r="66" ht="20" customHeight="1" spans="1:11">
      <c r="A66" s="7"/>
      <c r="B66" s="414" t="s">
        <v>558</v>
      </c>
      <c r="C66" s="414" t="s">
        <v>559</v>
      </c>
      <c r="D66" s="413" t="s">
        <v>548</v>
      </c>
      <c r="E66" s="413">
        <v>2</v>
      </c>
      <c r="F66" s="7">
        <v>450</v>
      </c>
      <c r="G66" s="394"/>
      <c r="H66" s="394">
        <f t="shared" si="18"/>
        <v>900</v>
      </c>
      <c r="I66" s="394">
        <f t="shared" si="19"/>
        <v>0</v>
      </c>
      <c r="J66" s="416">
        <f t="shared" si="15"/>
        <v>900</v>
      </c>
      <c r="K66" s="62">
        <f t="shared" si="16"/>
        <v>0</v>
      </c>
    </row>
    <row r="67" ht="20" customHeight="1" spans="1:11">
      <c r="A67" s="7"/>
      <c r="B67" s="414" t="s">
        <v>551</v>
      </c>
      <c r="C67" s="414" t="s">
        <v>552</v>
      </c>
      <c r="D67" s="413" t="s">
        <v>553</v>
      </c>
      <c r="E67" s="413">
        <v>2</v>
      </c>
      <c r="F67" s="7">
        <f t="shared" si="17"/>
        <v>24</v>
      </c>
      <c r="G67" s="394">
        <v>300</v>
      </c>
      <c r="H67" s="394">
        <f t="shared" si="18"/>
        <v>48</v>
      </c>
      <c r="I67" s="394">
        <f t="shared" si="19"/>
        <v>600</v>
      </c>
      <c r="J67" s="416">
        <f t="shared" si="15"/>
        <v>48</v>
      </c>
      <c r="K67" s="62">
        <f t="shared" si="16"/>
        <v>600</v>
      </c>
    </row>
    <row r="68" ht="20" customHeight="1" spans="1:11">
      <c r="A68" s="5" t="s">
        <v>564</v>
      </c>
      <c r="B68" s="418" t="s">
        <v>565</v>
      </c>
      <c r="C68" s="406"/>
      <c r="D68" s="123"/>
      <c r="E68" s="123"/>
      <c r="F68" s="7"/>
      <c r="G68" s="394"/>
      <c r="H68" s="395">
        <f>H69</f>
        <v>2810.24</v>
      </c>
      <c r="I68" s="395">
        <f>I69</f>
        <v>35128</v>
      </c>
      <c r="J68" s="416">
        <f t="shared" si="15"/>
        <v>0</v>
      </c>
      <c r="K68" s="62">
        <f t="shared" si="16"/>
        <v>0</v>
      </c>
    </row>
    <row r="69" ht="20" customHeight="1" spans="1:11">
      <c r="A69" s="413">
        <v>1</v>
      </c>
      <c r="B69" s="414" t="s">
        <v>573</v>
      </c>
      <c r="C69" s="414"/>
      <c r="D69" s="413"/>
      <c r="E69" s="413"/>
      <c r="F69" s="90"/>
      <c r="G69" s="394"/>
      <c r="H69" s="394">
        <f>SUM(H70:H73)</f>
        <v>2810.24</v>
      </c>
      <c r="I69" s="394">
        <f>SUM(I70:I73)</f>
        <v>35128</v>
      </c>
      <c r="J69" s="416">
        <f t="shared" si="15"/>
        <v>0</v>
      </c>
      <c r="K69" s="62">
        <f t="shared" si="16"/>
        <v>0</v>
      </c>
    </row>
    <row r="70" ht="20" customHeight="1" spans="1:11">
      <c r="A70" s="413"/>
      <c r="B70" s="414" t="s">
        <v>567</v>
      </c>
      <c r="C70" s="414" t="s">
        <v>568</v>
      </c>
      <c r="D70" s="413" t="s">
        <v>453</v>
      </c>
      <c r="E70" s="413">
        <v>17</v>
      </c>
      <c r="F70" s="90">
        <f t="shared" ref="F70:F73" si="20">G70*0.08</f>
        <v>124.8</v>
      </c>
      <c r="G70" s="394">
        <f>安装概算核!G170</f>
        <v>1560</v>
      </c>
      <c r="H70" s="394">
        <f t="shared" ref="H70:H73" si="21">E70*F70</f>
        <v>2121.6</v>
      </c>
      <c r="I70" s="394">
        <f t="shared" ref="I70:I73" si="22">E70*G70</f>
        <v>26520</v>
      </c>
      <c r="J70" s="416">
        <f t="shared" si="15"/>
        <v>2121.6</v>
      </c>
      <c r="K70" s="62">
        <f t="shared" si="16"/>
        <v>26520</v>
      </c>
    </row>
    <row r="71" ht="20" customHeight="1" spans="1:11">
      <c r="A71" s="413"/>
      <c r="B71" s="414" t="s">
        <v>574</v>
      </c>
      <c r="C71" s="414" t="s">
        <v>570</v>
      </c>
      <c r="D71" s="413" t="s">
        <v>453</v>
      </c>
      <c r="E71" s="413">
        <v>14</v>
      </c>
      <c r="F71" s="90">
        <f t="shared" si="20"/>
        <v>24.96</v>
      </c>
      <c r="G71" s="394">
        <f>安装概算核!G171</f>
        <v>312</v>
      </c>
      <c r="H71" s="394">
        <f t="shared" si="21"/>
        <v>349.44</v>
      </c>
      <c r="I71" s="394">
        <f t="shared" si="22"/>
        <v>4368</v>
      </c>
      <c r="J71" s="416">
        <f t="shared" si="15"/>
        <v>349.44</v>
      </c>
      <c r="K71" s="62">
        <f t="shared" si="16"/>
        <v>4368</v>
      </c>
    </row>
    <row r="72" ht="20" customHeight="1" spans="1:11">
      <c r="A72" s="413"/>
      <c r="B72" s="414" t="s">
        <v>575</v>
      </c>
      <c r="C72" s="414" t="s">
        <v>570</v>
      </c>
      <c r="D72" s="413" t="s">
        <v>453</v>
      </c>
      <c r="E72" s="413">
        <v>3</v>
      </c>
      <c r="F72" s="90">
        <f t="shared" si="20"/>
        <v>22.4</v>
      </c>
      <c r="G72" s="394">
        <f>安装概算核!G172</f>
        <v>280</v>
      </c>
      <c r="H72" s="394">
        <f t="shared" si="21"/>
        <v>67.2</v>
      </c>
      <c r="I72" s="394">
        <f t="shared" si="22"/>
        <v>840</v>
      </c>
      <c r="J72" s="416">
        <f t="shared" si="15"/>
        <v>67.2</v>
      </c>
      <c r="K72" s="62">
        <f t="shared" si="16"/>
        <v>840</v>
      </c>
    </row>
    <row r="73" ht="20" customHeight="1" spans="1:11">
      <c r="A73" s="413"/>
      <c r="B73" s="414" t="s">
        <v>571</v>
      </c>
      <c r="C73" s="414" t="s">
        <v>572</v>
      </c>
      <c r="D73" s="413" t="s">
        <v>305</v>
      </c>
      <c r="E73" s="413">
        <v>17</v>
      </c>
      <c r="F73" s="90">
        <f t="shared" si="20"/>
        <v>16</v>
      </c>
      <c r="G73" s="394">
        <f>安装概算核!G173</f>
        <v>200</v>
      </c>
      <c r="H73" s="394">
        <f t="shared" si="21"/>
        <v>272</v>
      </c>
      <c r="I73" s="394">
        <f t="shared" si="22"/>
        <v>3400</v>
      </c>
      <c r="J73" s="416">
        <f t="shared" si="15"/>
        <v>272</v>
      </c>
      <c r="K73" s="62">
        <f t="shared" si="16"/>
        <v>3400</v>
      </c>
    </row>
    <row r="74" ht="20" customHeight="1" spans="1:11">
      <c r="A74" s="5" t="s">
        <v>577</v>
      </c>
      <c r="B74" s="419" t="s">
        <v>578</v>
      </c>
      <c r="C74" s="420"/>
      <c r="D74" s="421"/>
      <c r="E74" s="421"/>
      <c r="F74" s="5"/>
      <c r="G74" s="395"/>
      <c r="H74" s="395">
        <f>SUM(H75:H84)</f>
        <v>1755</v>
      </c>
      <c r="I74" s="395"/>
      <c r="J74" s="416">
        <f t="shared" ref="J74:J84" si="23">E74*F74</f>
        <v>0</v>
      </c>
      <c r="K74" s="62">
        <f t="shared" ref="K74:K84" si="24">E74*G74</f>
        <v>0</v>
      </c>
    </row>
    <row r="75" ht="20" customHeight="1" spans="1:11">
      <c r="A75" s="7"/>
      <c r="B75" s="11" t="s">
        <v>579</v>
      </c>
      <c r="C75" s="11"/>
      <c r="D75" s="7" t="s">
        <v>336</v>
      </c>
      <c r="E75" s="7">
        <v>1</v>
      </c>
      <c r="F75" s="90">
        <v>200</v>
      </c>
      <c r="G75" s="394"/>
      <c r="H75" s="394">
        <f t="shared" ref="H75:H84" si="25">E75*F75</f>
        <v>200</v>
      </c>
      <c r="I75" s="394"/>
      <c r="J75" s="416">
        <f t="shared" si="23"/>
        <v>200</v>
      </c>
      <c r="K75" s="62">
        <f t="shared" si="24"/>
        <v>0</v>
      </c>
    </row>
    <row r="76" ht="20" customHeight="1" spans="1:11">
      <c r="A76" s="7"/>
      <c r="B76" s="11" t="s">
        <v>580</v>
      </c>
      <c r="C76" s="11"/>
      <c r="D76" s="7" t="s">
        <v>363</v>
      </c>
      <c r="E76" s="7">
        <v>1</v>
      </c>
      <c r="F76" s="90">
        <v>50</v>
      </c>
      <c r="G76" s="394"/>
      <c r="H76" s="394">
        <f t="shared" si="25"/>
        <v>50</v>
      </c>
      <c r="I76" s="394"/>
      <c r="J76" s="416">
        <f t="shared" si="23"/>
        <v>50</v>
      </c>
      <c r="K76" s="62">
        <f t="shared" si="24"/>
        <v>0</v>
      </c>
    </row>
    <row r="77" ht="20" customHeight="1" spans="1:11">
      <c r="A77" s="7"/>
      <c r="B77" s="11" t="s">
        <v>581</v>
      </c>
      <c r="C77" s="11"/>
      <c r="D77" s="7" t="s">
        <v>363</v>
      </c>
      <c r="E77" s="7">
        <v>2</v>
      </c>
      <c r="F77" s="90">
        <v>20</v>
      </c>
      <c r="G77" s="394"/>
      <c r="H77" s="394">
        <f t="shared" si="25"/>
        <v>40</v>
      </c>
      <c r="I77" s="394"/>
      <c r="J77" s="416">
        <f t="shared" si="23"/>
        <v>40</v>
      </c>
      <c r="K77" s="62">
        <f t="shared" si="24"/>
        <v>0</v>
      </c>
    </row>
    <row r="78" ht="20" customHeight="1" spans="1:11">
      <c r="A78" s="7"/>
      <c r="B78" s="11" t="s">
        <v>582</v>
      </c>
      <c r="C78" s="11"/>
      <c r="D78" s="7" t="s">
        <v>363</v>
      </c>
      <c r="E78" s="7">
        <v>1</v>
      </c>
      <c r="F78" s="90">
        <v>50</v>
      </c>
      <c r="G78" s="394"/>
      <c r="H78" s="394">
        <f t="shared" si="25"/>
        <v>50</v>
      </c>
      <c r="I78" s="394"/>
      <c r="J78" s="416">
        <f t="shared" si="23"/>
        <v>50</v>
      </c>
      <c r="K78" s="62">
        <f t="shared" si="24"/>
        <v>0</v>
      </c>
    </row>
    <row r="79" ht="20" customHeight="1" spans="1:11">
      <c r="A79" s="7"/>
      <c r="B79" s="11" t="s">
        <v>583</v>
      </c>
      <c r="C79" s="11"/>
      <c r="D79" s="7" t="s">
        <v>363</v>
      </c>
      <c r="E79" s="7">
        <v>1</v>
      </c>
      <c r="F79" s="90">
        <v>50</v>
      </c>
      <c r="G79" s="394"/>
      <c r="H79" s="394">
        <f t="shared" si="25"/>
        <v>50</v>
      </c>
      <c r="I79" s="394"/>
      <c r="J79" s="416">
        <f t="shared" si="23"/>
        <v>50</v>
      </c>
      <c r="K79" s="62">
        <f t="shared" si="24"/>
        <v>0</v>
      </c>
    </row>
    <row r="80" ht="20" customHeight="1" spans="1:11">
      <c r="A80" s="7"/>
      <c r="B80" s="11" t="s">
        <v>584</v>
      </c>
      <c r="C80" s="11"/>
      <c r="D80" s="7" t="s">
        <v>363</v>
      </c>
      <c r="E80" s="7">
        <v>17</v>
      </c>
      <c r="F80" s="90">
        <v>30</v>
      </c>
      <c r="G80" s="394"/>
      <c r="H80" s="394">
        <f t="shared" si="25"/>
        <v>510</v>
      </c>
      <c r="I80" s="394"/>
      <c r="J80" s="416">
        <f t="shared" si="23"/>
        <v>510</v>
      </c>
      <c r="K80" s="62">
        <f t="shared" si="24"/>
        <v>0</v>
      </c>
    </row>
    <row r="81" ht="20" customHeight="1" spans="1:11">
      <c r="A81" s="7"/>
      <c r="B81" s="11" t="s">
        <v>585</v>
      </c>
      <c r="C81" s="11"/>
      <c r="D81" s="7" t="s">
        <v>363</v>
      </c>
      <c r="E81" s="7"/>
      <c r="F81" s="90">
        <v>30</v>
      </c>
      <c r="G81" s="394"/>
      <c r="H81" s="394">
        <f t="shared" si="25"/>
        <v>0</v>
      </c>
      <c r="I81" s="394"/>
      <c r="J81" s="416">
        <f t="shared" si="23"/>
        <v>0</v>
      </c>
      <c r="K81" s="62">
        <f t="shared" si="24"/>
        <v>0</v>
      </c>
    </row>
    <row r="82" ht="20" customHeight="1" spans="1:11">
      <c r="A82" s="7"/>
      <c r="B82" s="11" t="s">
        <v>586</v>
      </c>
      <c r="C82" s="11"/>
      <c r="D82" s="7" t="s">
        <v>363</v>
      </c>
      <c r="E82" s="7">
        <v>2</v>
      </c>
      <c r="F82" s="90">
        <v>30</v>
      </c>
      <c r="G82" s="394"/>
      <c r="H82" s="394">
        <f t="shared" si="25"/>
        <v>60</v>
      </c>
      <c r="I82" s="395"/>
      <c r="J82" s="416">
        <f t="shared" si="23"/>
        <v>60</v>
      </c>
      <c r="K82" s="62">
        <f t="shared" si="24"/>
        <v>0</v>
      </c>
    </row>
    <row r="83" ht="20" customHeight="1" spans="1:11">
      <c r="A83" s="7"/>
      <c r="B83" s="11" t="s">
        <v>587</v>
      </c>
      <c r="C83" s="11"/>
      <c r="D83" s="7" t="s">
        <v>363</v>
      </c>
      <c r="E83" s="7">
        <v>3</v>
      </c>
      <c r="F83" s="90">
        <v>30</v>
      </c>
      <c r="G83" s="394"/>
      <c r="H83" s="394">
        <f t="shared" si="25"/>
        <v>90</v>
      </c>
      <c r="I83" s="395"/>
      <c r="J83" s="416">
        <f t="shared" si="23"/>
        <v>90</v>
      </c>
      <c r="K83" s="62">
        <f t="shared" si="24"/>
        <v>0</v>
      </c>
    </row>
    <row r="84" ht="20" customHeight="1" spans="1:11">
      <c r="A84" s="7"/>
      <c r="B84" s="11" t="s">
        <v>588</v>
      </c>
      <c r="C84" s="11"/>
      <c r="D84" s="7" t="s">
        <v>589</v>
      </c>
      <c r="E84" s="7">
        <v>141</v>
      </c>
      <c r="F84" s="90">
        <v>5</v>
      </c>
      <c r="G84" s="394"/>
      <c r="H84" s="394">
        <f t="shared" si="25"/>
        <v>705</v>
      </c>
      <c r="I84" s="395"/>
      <c r="J84" s="416">
        <f t="shared" si="23"/>
        <v>705</v>
      </c>
      <c r="K84" s="62">
        <f t="shared" si="24"/>
        <v>0</v>
      </c>
    </row>
    <row r="85" ht="20" customHeight="1" spans="1:11">
      <c r="A85" s="341"/>
      <c r="B85" s="422"/>
      <c r="C85" s="422"/>
      <c r="D85" s="341"/>
      <c r="E85" s="341"/>
      <c r="F85" s="423"/>
      <c r="G85" s="424"/>
      <c r="H85" s="424"/>
      <c r="I85" s="427"/>
      <c r="J85" s="416"/>
      <c r="K85" s="62"/>
    </row>
    <row r="86" ht="20" customHeight="1" spans="1:11">
      <c r="A86" s="256"/>
      <c r="B86" s="391" t="s">
        <v>108</v>
      </c>
      <c r="C86" s="391"/>
      <c r="D86" s="256"/>
      <c r="E86" s="425"/>
      <c r="F86" s="7"/>
      <c r="G86" s="426"/>
      <c r="H86" s="395">
        <f>H87</f>
        <v>7920</v>
      </c>
      <c r="I86" s="395">
        <f>I87</f>
        <v>0</v>
      </c>
      <c r="J86" s="62"/>
      <c r="K86" s="62"/>
    </row>
    <row r="87" ht="20" customHeight="1" spans="1:9">
      <c r="A87" s="398">
        <v>1</v>
      </c>
      <c r="B87" s="399" t="s">
        <v>480</v>
      </c>
      <c r="C87" s="406"/>
      <c r="D87" s="123"/>
      <c r="E87" s="123"/>
      <c r="F87" s="7"/>
      <c r="G87" s="7"/>
      <c r="H87" s="7">
        <f>H88+H89</f>
        <v>7920</v>
      </c>
      <c r="I87" s="7">
        <f>SUM(I88:I88)</f>
        <v>0</v>
      </c>
    </row>
    <row r="88" ht="20" customHeight="1" spans="1:9">
      <c r="A88" s="8"/>
      <c r="B88" s="406" t="s">
        <v>592</v>
      </c>
      <c r="C88" s="406" t="s">
        <v>591</v>
      </c>
      <c r="D88" s="123" t="s">
        <v>200</v>
      </c>
      <c r="E88" s="123">
        <v>0.63</v>
      </c>
      <c r="F88" s="7">
        <v>9000</v>
      </c>
      <c r="G88" s="7"/>
      <c r="H88" s="7">
        <f>E88*F88</f>
        <v>5670</v>
      </c>
      <c r="I88" s="7"/>
    </row>
    <row r="89" ht="20" customHeight="1" spans="1:9">
      <c r="A89" s="8"/>
      <c r="B89" s="406" t="s">
        <v>593</v>
      </c>
      <c r="C89" s="406" t="s">
        <v>591</v>
      </c>
      <c r="D89" s="123" t="s">
        <v>200</v>
      </c>
      <c r="E89" s="123">
        <v>0.25</v>
      </c>
      <c r="F89" s="7">
        <f>F88</f>
        <v>9000</v>
      </c>
      <c r="G89" s="7"/>
      <c r="H89" s="7">
        <f>E89*F89</f>
        <v>2250</v>
      </c>
      <c r="I89" s="7"/>
    </row>
    <row r="90" spans="1:9">
      <c r="A90" s="8"/>
      <c r="B90" s="11"/>
      <c r="C90" s="11"/>
      <c r="D90" s="7"/>
      <c r="E90" s="7"/>
      <c r="F90" s="7"/>
      <c r="G90" s="8"/>
      <c r="H90" s="7"/>
      <c r="I90" s="8"/>
    </row>
    <row r="91" spans="1:9">
      <c r="A91" s="8"/>
      <c r="B91" s="11"/>
      <c r="C91" s="11"/>
      <c r="D91" s="7"/>
      <c r="E91" s="7"/>
      <c r="F91" s="7"/>
      <c r="G91" s="8"/>
      <c r="H91" s="7"/>
      <c r="I91" s="8"/>
    </row>
    <row r="92" spans="1:9">
      <c r="A92" s="8"/>
      <c r="B92" s="11"/>
      <c r="C92" s="11"/>
      <c r="D92" s="7"/>
      <c r="E92" s="7"/>
      <c r="F92" s="7"/>
      <c r="G92" s="8"/>
      <c r="H92" s="7"/>
      <c r="I92" s="8"/>
    </row>
    <row r="93" spans="1:9">
      <c r="A93" s="8"/>
      <c r="B93" s="11"/>
      <c r="C93" s="11"/>
      <c r="D93" s="7"/>
      <c r="E93" s="7"/>
      <c r="F93" s="7"/>
      <c r="G93" s="8"/>
      <c r="H93" s="7"/>
      <c r="I93" s="8"/>
    </row>
    <row r="94" spans="1:9">
      <c r="A94" s="8"/>
      <c r="B94" s="11"/>
      <c r="C94" s="11"/>
      <c r="D94" s="7"/>
      <c r="E94" s="7"/>
      <c r="F94" s="7"/>
      <c r="G94" s="8"/>
      <c r="H94" s="7"/>
      <c r="I94" s="8"/>
    </row>
    <row r="95" spans="1:9">
      <c r="A95" s="8"/>
      <c r="B95" s="11"/>
      <c r="C95" s="11"/>
      <c r="D95" s="7"/>
      <c r="E95" s="7"/>
      <c r="F95" s="7"/>
      <c r="G95" s="75"/>
      <c r="H95" s="75"/>
      <c r="I95" s="75"/>
    </row>
    <row r="96" spans="1:9">
      <c r="A96" s="8"/>
      <c r="B96" s="11"/>
      <c r="C96" s="11"/>
      <c r="D96" s="7"/>
      <c r="E96" s="7"/>
      <c r="F96" s="7"/>
      <c r="G96" s="75"/>
      <c r="H96" s="75"/>
      <c r="I96" s="75"/>
    </row>
  </sheetData>
  <mergeCells count="12">
    <mergeCell ref="F3:G3"/>
    <mergeCell ref="H3:I3"/>
    <mergeCell ref="B5:C5"/>
    <mergeCell ref="B69:C69"/>
    <mergeCell ref="B74:C74"/>
    <mergeCell ref="B86:C86"/>
    <mergeCell ref="A3:A4"/>
    <mergeCell ref="B3:B4"/>
    <mergeCell ref="C3:C4"/>
    <mergeCell ref="D3:D4"/>
    <mergeCell ref="E3:E4"/>
    <mergeCell ref="A1:I2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F57"/>
  <sheetViews>
    <sheetView workbookViewId="0">
      <selection activeCell="P8" sqref="P8"/>
    </sheetView>
  </sheetViews>
  <sheetFormatPr defaultColWidth="9" defaultRowHeight="14.25" outlineLevelCol="5"/>
  <cols>
    <col min="2" max="2" width="29.25" customWidth="1"/>
    <col min="3" max="3" width="9.375"/>
    <col min="6" max="6" width="12.625" customWidth="1"/>
  </cols>
  <sheetData>
    <row r="1" ht="20" customHeight="1" spans="1:6">
      <c r="A1" s="501" t="s">
        <v>614</v>
      </c>
      <c r="B1" s="501"/>
      <c r="C1" s="501"/>
      <c r="D1" s="501"/>
      <c r="E1" s="501"/>
      <c r="F1" s="501"/>
    </row>
    <row r="2" ht="20" customHeight="1" spans="1:6">
      <c r="A2" s="502"/>
      <c r="B2" s="502"/>
      <c r="C2" s="502"/>
      <c r="D2" s="502"/>
      <c r="E2" s="502"/>
      <c r="F2" s="503" t="s">
        <v>71</v>
      </c>
    </row>
    <row r="3" ht="24" spans="1:6">
      <c r="A3" s="504" t="s">
        <v>1</v>
      </c>
      <c r="B3" s="504" t="s">
        <v>72</v>
      </c>
      <c r="C3" s="504" t="s">
        <v>117</v>
      </c>
      <c r="D3" s="504" t="s">
        <v>118</v>
      </c>
      <c r="E3" s="504" t="s">
        <v>119</v>
      </c>
      <c r="F3" s="504" t="s">
        <v>106</v>
      </c>
    </row>
    <row r="4" ht="20" customHeight="1" spans="1:6">
      <c r="A4" s="505" t="s">
        <v>120</v>
      </c>
      <c r="B4" s="505"/>
      <c r="C4" s="506">
        <f>SUM(C5:C8)</f>
        <v>1819.27158490989</v>
      </c>
      <c r="D4" s="507"/>
      <c r="E4" s="508"/>
      <c r="F4" s="509">
        <f t="shared" ref="F4:F7" si="0">SUM(C4:E4)</f>
        <v>1819.27158490989</v>
      </c>
    </row>
    <row r="5" ht="20" customHeight="1" spans="1:6">
      <c r="A5" s="510" t="s">
        <v>34</v>
      </c>
      <c r="B5" s="511" t="str">
        <f>建筑概算核!B7</f>
        <v>生态护岸工程</v>
      </c>
      <c r="C5" s="512">
        <f>'概算（高庄）'!F7/10000</f>
        <v>1383.97861629341</v>
      </c>
      <c r="D5" s="513"/>
      <c r="E5" s="72"/>
      <c r="F5" s="71">
        <f t="shared" si="0"/>
        <v>1383.97861629341</v>
      </c>
    </row>
    <row r="6" ht="20" customHeight="1" spans="1:6">
      <c r="A6" s="510" t="s">
        <v>46</v>
      </c>
      <c r="B6" s="511" t="str">
        <f>建筑概算核!B103</f>
        <v>污染底泥清除</v>
      </c>
      <c r="C6" s="512">
        <f>'概算（高庄）'!F95/10000</f>
        <v>40.2805318723935</v>
      </c>
      <c r="D6" s="513"/>
      <c r="E6" s="72"/>
      <c r="F6" s="71">
        <f t="shared" si="0"/>
        <v>40.2805318723935</v>
      </c>
    </row>
    <row r="7" ht="20" customHeight="1" spans="1:6">
      <c r="A7" s="510" t="s">
        <v>83</v>
      </c>
      <c r="B7" s="511" t="str">
        <f>建筑概算核!B105</f>
        <v>生态沟渠工程</v>
      </c>
      <c r="C7" s="512">
        <f>'概算（高庄）'!F97/10000</f>
        <v>238.686200313545</v>
      </c>
      <c r="D7" s="513"/>
      <c r="E7" s="72"/>
      <c r="F7" s="71">
        <f t="shared" si="0"/>
        <v>238.686200313545</v>
      </c>
    </row>
    <row r="8" ht="20" customHeight="1" spans="1:6">
      <c r="A8" s="510" t="s">
        <v>121</v>
      </c>
      <c r="B8" s="511" t="s">
        <v>79</v>
      </c>
      <c r="C8" s="512">
        <f>'概算（高庄）'!F114/10000</f>
        <v>156.326236430547</v>
      </c>
      <c r="D8" s="513"/>
      <c r="E8" s="72"/>
      <c r="F8" s="71">
        <f>C8</f>
        <v>156.326236430547</v>
      </c>
    </row>
    <row r="9" ht="20" customHeight="1" spans="1:6">
      <c r="A9" s="5" t="s">
        <v>122</v>
      </c>
      <c r="B9" s="5"/>
      <c r="C9" s="514">
        <f>SUM(C10:C12)</f>
        <v>2.344194416</v>
      </c>
      <c r="D9" s="514">
        <f>SUM(D10:D12)</f>
        <v>22.7874812761584</v>
      </c>
      <c r="E9" s="514"/>
      <c r="F9" s="509">
        <f t="shared" ref="F9:F13" si="1">C9+D9</f>
        <v>25.1316756921584</v>
      </c>
    </row>
    <row r="10" ht="20" customHeight="1" spans="1:6">
      <c r="A10" s="7" t="s">
        <v>34</v>
      </c>
      <c r="B10" s="11" t="str">
        <f>安装概算核!B6</f>
        <v>水机设备及安装工程</v>
      </c>
      <c r="C10" s="515">
        <f>'安装(高庄）'!H6/10000</f>
        <v>0.8135</v>
      </c>
      <c r="D10" s="515">
        <f>'安装(高庄）'!I6/10000</f>
        <v>8.83003055</v>
      </c>
      <c r="E10" s="515"/>
      <c r="F10" s="71">
        <f t="shared" si="1"/>
        <v>9.64353055</v>
      </c>
    </row>
    <row r="11" ht="20" customHeight="1" spans="1:6">
      <c r="A11" s="7" t="s">
        <v>46</v>
      </c>
      <c r="B11" s="11" t="str">
        <f>安装概算核!B64</f>
        <v>电气设备及安装工程</v>
      </c>
      <c r="C11" s="515">
        <f>'安装(高庄）'!H29/10000</f>
        <v>0.708062416</v>
      </c>
      <c r="D11" s="515">
        <f>'安装(高庄）'!I29/10000</f>
        <v>7.7370507261584</v>
      </c>
      <c r="E11" s="515"/>
      <c r="F11" s="71">
        <f t="shared" si="1"/>
        <v>8.4451131421584</v>
      </c>
    </row>
    <row r="12" ht="20" customHeight="1" spans="1:6">
      <c r="A12" s="7" t="s">
        <v>83</v>
      </c>
      <c r="B12" s="11" t="str">
        <f>安装概算核!B126</f>
        <v>自动化工程</v>
      </c>
      <c r="C12" s="515">
        <f>'安装(高庄）'!H52/10000</f>
        <v>0.822632</v>
      </c>
      <c r="D12" s="515">
        <f>'安装(高庄）'!I52/10000</f>
        <v>6.2204</v>
      </c>
      <c r="E12" s="515"/>
      <c r="F12" s="71">
        <f t="shared" si="1"/>
        <v>7.043032</v>
      </c>
    </row>
    <row r="13" ht="20" customHeight="1" spans="1:6">
      <c r="A13" s="5" t="s">
        <v>85</v>
      </c>
      <c r="B13" s="5"/>
      <c r="C13" s="514">
        <f>'安装(高庄）'!H86/10000</f>
        <v>0.792</v>
      </c>
      <c r="D13" s="514"/>
      <c r="E13" s="514"/>
      <c r="F13" s="509">
        <f t="shared" si="1"/>
        <v>0.792</v>
      </c>
    </row>
    <row r="14" ht="20" customHeight="1" spans="1:6">
      <c r="A14" s="5" t="s">
        <v>86</v>
      </c>
      <c r="B14" s="5"/>
      <c r="C14" s="514">
        <f>C4+C9+C13</f>
        <v>1822.40777932589</v>
      </c>
      <c r="D14" s="514">
        <f>D4+D9+D13</f>
        <v>22.7874812761584</v>
      </c>
      <c r="E14" s="516"/>
      <c r="F14" s="509">
        <f t="shared" ref="F14:F24" si="2">SUM(C14:E14)</f>
        <v>1845.19526060205</v>
      </c>
    </row>
    <row r="15" ht="20" customHeight="1" spans="1:6">
      <c r="A15" s="5" t="s">
        <v>87</v>
      </c>
      <c r="B15" s="5"/>
      <c r="C15" s="277">
        <f>'概算（高庄）'!F213/10000</f>
        <v>71.9944671111279</v>
      </c>
      <c r="D15" s="5"/>
      <c r="E15" s="5"/>
      <c r="F15" s="509">
        <f t="shared" si="2"/>
        <v>71.9944671111279</v>
      </c>
    </row>
    <row r="16" ht="20" customHeight="1" spans="1:6">
      <c r="A16" s="5" t="s">
        <v>88</v>
      </c>
      <c r="B16" s="5"/>
      <c r="C16" s="277">
        <f>C14+C15</f>
        <v>1894.40224643702</v>
      </c>
      <c r="D16" s="277">
        <f>D14+D15</f>
        <v>22.7874812761584</v>
      </c>
      <c r="E16" s="5"/>
      <c r="F16" s="509">
        <f t="shared" si="2"/>
        <v>1917.18972771318</v>
      </c>
    </row>
    <row r="17" ht="20" customHeight="1" spans="1:6">
      <c r="A17" s="5" t="s">
        <v>89</v>
      </c>
      <c r="B17" s="5"/>
      <c r="C17" s="277"/>
      <c r="D17" s="5"/>
      <c r="E17" s="277">
        <f>E18+E19+E20+E21</f>
        <v>256.223712898811</v>
      </c>
      <c r="F17" s="509">
        <f t="shared" si="2"/>
        <v>256.223712898811</v>
      </c>
    </row>
    <row r="18" ht="20" customHeight="1" spans="1:6">
      <c r="A18" s="67" t="s">
        <v>34</v>
      </c>
      <c r="B18" s="11" t="s">
        <v>123</v>
      </c>
      <c r="C18" s="7"/>
      <c r="D18" s="7"/>
      <c r="E18" s="69">
        <f>'概算（高庄）'!F235</f>
        <v>72.8519154802839</v>
      </c>
      <c r="F18" s="71">
        <f t="shared" si="2"/>
        <v>72.8519154802839</v>
      </c>
    </row>
    <row r="19" ht="20" customHeight="1" spans="1:6">
      <c r="A19" s="67" t="s">
        <v>46</v>
      </c>
      <c r="B19" s="11" t="s">
        <v>124</v>
      </c>
      <c r="C19" s="7"/>
      <c r="D19" s="7"/>
      <c r="E19" s="69">
        <f>'概算（高庄）'!F236</f>
        <v>39.866103400814</v>
      </c>
      <c r="F19" s="71">
        <f t="shared" si="2"/>
        <v>39.866103400814</v>
      </c>
    </row>
    <row r="20" ht="20" customHeight="1" spans="1:6">
      <c r="A20" s="67" t="s">
        <v>83</v>
      </c>
      <c r="B20" s="11" t="s">
        <v>125</v>
      </c>
      <c r="C20" s="7"/>
      <c r="D20" s="7"/>
      <c r="E20" s="69">
        <f>'概算（高庄）'!F237</f>
        <v>86.6736266246028</v>
      </c>
      <c r="F20" s="71">
        <f t="shared" si="2"/>
        <v>86.6736266246028</v>
      </c>
    </row>
    <row r="21" ht="20" customHeight="1" spans="1:6">
      <c r="A21" s="67" t="s">
        <v>121</v>
      </c>
      <c r="B21" s="11" t="s">
        <v>126</v>
      </c>
      <c r="C21" s="7"/>
      <c r="D21" s="7"/>
      <c r="E21" s="69">
        <f>SUM(E22:E23)</f>
        <v>56.8320673931106</v>
      </c>
      <c r="F21" s="71">
        <f t="shared" si="2"/>
        <v>56.8320673931106</v>
      </c>
    </row>
    <row r="22" ht="20" customHeight="1" spans="1:6">
      <c r="A22" s="67">
        <v>1</v>
      </c>
      <c r="B22" s="11" t="s">
        <v>127</v>
      </c>
      <c r="C22" s="7"/>
      <c r="D22" s="7"/>
      <c r="E22" s="69">
        <f>'概算（高庄）'!F241</f>
        <v>47.3600561609255</v>
      </c>
      <c r="F22" s="71">
        <f t="shared" si="2"/>
        <v>47.3600561609255</v>
      </c>
    </row>
    <row r="23" ht="20" customHeight="1" spans="1:6">
      <c r="A23" s="67">
        <v>2</v>
      </c>
      <c r="B23" s="11" t="s">
        <v>128</v>
      </c>
      <c r="C23" s="7"/>
      <c r="D23" s="7"/>
      <c r="E23" s="69">
        <f>'概算（高庄）'!F242</f>
        <v>9.47201123218511</v>
      </c>
      <c r="F23" s="71">
        <f t="shared" si="2"/>
        <v>9.47201123218511</v>
      </c>
    </row>
    <row r="24" ht="20" customHeight="1" spans="1:6">
      <c r="A24" s="5" t="s">
        <v>90</v>
      </c>
      <c r="B24" s="5"/>
      <c r="C24" s="276">
        <f>C16+C17</f>
        <v>1894.40224643702</v>
      </c>
      <c r="D24" s="276">
        <f>D16+D17</f>
        <v>22.7874812761584</v>
      </c>
      <c r="E24" s="276">
        <f>E16+E17</f>
        <v>256.223712898811</v>
      </c>
      <c r="F24" s="509">
        <f t="shared" si="2"/>
        <v>2173.41344061199</v>
      </c>
    </row>
    <row r="25" ht="20" customHeight="1" spans="1:6">
      <c r="A25" s="517"/>
      <c r="B25" s="391" t="s">
        <v>91</v>
      </c>
      <c r="C25" s="276"/>
      <c r="D25" s="518"/>
      <c r="E25" s="276"/>
      <c r="F25" s="276">
        <f>F24*0.03</f>
        <v>65.2024032183597</v>
      </c>
    </row>
    <row r="26" ht="20" customHeight="1" spans="1:6">
      <c r="A26" s="517" t="s">
        <v>92</v>
      </c>
      <c r="B26" s="391" t="s">
        <v>129</v>
      </c>
      <c r="C26" s="468"/>
      <c r="D26" s="468"/>
      <c r="E26" s="5"/>
      <c r="F26" s="276">
        <f>F24+F25</f>
        <v>2238.61584383035</v>
      </c>
    </row>
    <row r="27" ht="20" customHeight="1" spans="1:6">
      <c r="A27" s="519" t="s">
        <v>94</v>
      </c>
      <c r="B27" s="520" t="s">
        <v>95</v>
      </c>
      <c r="C27" s="519"/>
      <c r="D27" s="519"/>
      <c r="E27" s="519"/>
      <c r="F27" s="276">
        <f>F28+F30+F32+F33</f>
        <v>23.97</v>
      </c>
    </row>
    <row r="28" ht="20" customHeight="1" spans="1:6">
      <c r="A28" s="521" t="s">
        <v>34</v>
      </c>
      <c r="B28" s="441" t="s">
        <v>130</v>
      </c>
      <c r="C28" s="519"/>
      <c r="D28" s="519"/>
      <c r="E28" s="519"/>
      <c r="F28" s="34">
        <v>8.72</v>
      </c>
    </row>
    <row r="29" ht="20" customHeight="1" spans="1:6">
      <c r="A29" s="521" t="s">
        <v>46</v>
      </c>
      <c r="B29" s="441" t="s">
        <v>131</v>
      </c>
      <c r="C29" s="519"/>
      <c r="D29" s="519"/>
      <c r="E29" s="519"/>
      <c r="F29" s="34"/>
    </row>
    <row r="30" ht="20" customHeight="1" spans="1:6">
      <c r="A30" s="521" t="s">
        <v>83</v>
      </c>
      <c r="B30" s="441" t="s">
        <v>132</v>
      </c>
      <c r="C30" s="519"/>
      <c r="D30" s="519"/>
      <c r="E30" s="519"/>
      <c r="F30" s="268">
        <v>0.96</v>
      </c>
    </row>
    <row r="31" ht="20" customHeight="1" spans="1:6">
      <c r="A31" s="519"/>
      <c r="B31" s="441" t="s">
        <v>133</v>
      </c>
      <c r="C31" s="519"/>
      <c r="D31" s="519"/>
      <c r="E31" s="519"/>
      <c r="F31" s="34">
        <v>0.26</v>
      </c>
    </row>
    <row r="32" ht="20" customHeight="1" spans="1:6">
      <c r="A32" s="246" t="s">
        <v>121</v>
      </c>
      <c r="B32" s="441" t="s">
        <v>134</v>
      </c>
      <c r="C32" s="519"/>
      <c r="D32" s="519"/>
      <c r="E32" s="519"/>
      <c r="F32" s="34">
        <v>0.97</v>
      </c>
    </row>
    <row r="33" ht="20" customHeight="1" spans="1:6">
      <c r="A33" s="246" t="s">
        <v>135</v>
      </c>
      <c r="B33" s="441" t="s">
        <v>136</v>
      </c>
      <c r="C33" s="519"/>
      <c r="D33" s="519"/>
      <c r="E33" s="519"/>
      <c r="F33" s="34">
        <v>13.32</v>
      </c>
    </row>
    <row r="34" ht="20" customHeight="1" spans="1:6">
      <c r="A34" s="519" t="s">
        <v>96</v>
      </c>
      <c r="B34" s="522" t="s">
        <v>99</v>
      </c>
      <c r="C34" s="519"/>
      <c r="D34" s="519"/>
      <c r="E34" s="519"/>
      <c r="F34" s="276">
        <f>F35+F36+F37+F38+F41</f>
        <v>17.06</v>
      </c>
    </row>
    <row r="35" ht="20" customHeight="1" spans="1:6">
      <c r="A35" s="519" t="s">
        <v>34</v>
      </c>
      <c r="B35" s="523" t="s">
        <v>137</v>
      </c>
      <c r="C35" s="519"/>
      <c r="D35" s="519"/>
      <c r="E35" s="519"/>
      <c r="F35" s="34">
        <v>3.85</v>
      </c>
    </row>
    <row r="36" ht="20" customHeight="1" spans="1:6">
      <c r="A36" s="519" t="s">
        <v>46</v>
      </c>
      <c r="B36" s="523" t="s">
        <v>138</v>
      </c>
      <c r="C36" s="519"/>
      <c r="D36" s="519"/>
      <c r="E36" s="519"/>
      <c r="F36" s="34">
        <v>2.85</v>
      </c>
    </row>
    <row r="37" ht="20" customHeight="1" spans="1:6">
      <c r="A37" s="519" t="s">
        <v>83</v>
      </c>
      <c r="B37" s="523" t="s">
        <v>139</v>
      </c>
      <c r="C37" s="519"/>
      <c r="D37" s="519"/>
      <c r="E37" s="519"/>
      <c r="F37" s="34">
        <v>1.38</v>
      </c>
    </row>
    <row r="38" ht="20" customHeight="1" spans="1:6">
      <c r="A38" s="246" t="s">
        <v>121</v>
      </c>
      <c r="B38" s="523" t="s">
        <v>140</v>
      </c>
      <c r="C38" s="519"/>
      <c r="D38" s="519"/>
      <c r="E38" s="519"/>
      <c r="F38" s="34">
        <v>8.48</v>
      </c>
    </row>
    <row r="39" ht="20" customHeight="1" spans="1:6">
      <c r="A39" s="519"/>
      <c r="B39" s="461" t="s">
        <v>141</v>
      </c>
      <c r="C39" s="519"/>
      <c r="D39" s="519"/>
      <c r="E39" s="519"/>
      <c r="F39" s="34">
        <v>3</v>
      </c>
    </row>
    <row r="40" ht="20" customHeight="1" spans="1:6">
      <c r="A40" s="519"/>
      <c r="B40" s="461" t="s">
        <v>142</v>
      </c>
      <c r="C40" s="519"/>
      <c r="D40" s="519"/>
      <c r="E40" s="519"/>
      <c r="F40" s="34">
        <v>0.32</v>
      </c>
    </row>
    <row r="41" ht="20" customHeight="1" spans="1:6">
      <c r="A41" s="246" t="s">
        <v>135</v>
      </c>
      <c r="B41" s="523" t="s">
        <v>91</v>
      </c>
      <c r="C41" s="519"/>
      <c r="D41" s="519"/>
      <c r="E41" s="519"/>
      <c r="F41" s="34">
        <v>0.5</v>
      </c>
    </row>
    <row r="42" ht="20" customHeight="1" spans="1:6">
      <c r="A42" s="246" t="s">
        <v>143</v>
      </c>
      <c r="B42" s="441" t="s">
        <v>144</v>
      </c>
      <c r="C42" s="519"/>
      <c r="D42" s="519"/>
      <c r="E42" s="519"/>
      <c r="F42" s="34"/>
    </row>
    <row r="43" ht="20" customHeight="1" spans="1:6">
      <c r="A43" s="519" t="s">
        <v>98</v>
      </c>
      <c r="B43" s="522" t="s">
        <v>101</v>
      </c>
      <c r="C43" s="519"/>
      <c r="D43" s="519"/>
      <c r="E43" s="519"/>
      <c r="F43" s="276">
        <f>F45+F46+F47+F49</f>
        <v>11.92</v>
      </c>
    </row>
    <row r="44" ht="20" customHeight="1" spans="1:6">
      <c r="A44" s="524" t="s">
        <v>34</v>
      </c>
      <c r="B44" s="525" t="s">
        <v>145</v>
      </c>
      <c r="C44" s="519"/>
      <c r="D44" s="519"/>
      <c r="E44" s="519"/>
      <c r="F44" s="34"/>
    </row>
    <row r="45" ht="20" customHeight="1" spans="1:6">
      <c r="A45" s="524" t="s">
        <v>46</v>
      </c>
      <c r="B45" s="525" t="s">
        <v>146</v>
      </c>
      <c r="C45" s="519"/>
      <c r="D45" s="519"/>
      <c r="E45" s="519"/>
      <c r="F45" s="34">
        <v>0.2</v>
      </c>
    </row>
    <row r="46" ht="20" customHeight="1" spans="1:6">
      <c r="A46" s="524" t="s">
        <v>83</v>
      </c>
      <c r="B46" s="525" t="s">
        <v>147</v>
      </c>
      <c r="C46" s="519"/>
      <c r="D46" s="519"/>
      <c r="E46" s="519"/>
      <c r="F46" s="34">
        <v>6.28</v>
      </c>
    </row>
    <row r="47" ht="20" customHeight="1" spans="1:6">
      <c r="A47" s="524" t="s">
        <v>121</v>
      </c>
      <c r="B47" s="525" t="s">
        <v>148</v>
      </c>
      <c r="C47" s="519"/>
      <c r="D47" s="519"/>
      <c r="E47" s="519"/>
      <c r="F47" s="34">
        <v>4.87</v>
      </c>
    </row>
    <row r="48" ht="20" customHeight="1" spans="1:6">
      <c r="A48" s="524"/>
      <c r="B48" s="525" t="s">
        <v>149</v>
      </c>
      <c r="C48" s="519"/>
      <c r="D48" s="519"/>
      <c r="E48" s="519"/>
      <c r="F48" s="34">
        <v>3.19</v>
      </c>
    </row>
    <row r="49" ht="20" customHeight="1" spans="1:6">
      <c r="A49" s="524" t="s">
        <v>135</v>
      </c>
      <c r="B49" s="525" t="s">
        <v>91</v>
      </c>
      <c r="C49" s="519"/>
      <c r="D49" s="519"/>
      <c r="E49" s="519"/>
      <c r="F49" s="34">
        <v>0.57</v>
      </c>
    </row>
    <row r="50" ht="20" customHeight="1" spans="1:6">
      <c r="A50" s="5" t="s">
        <v>100</v>
      </c>
      <c r="B50" s="520" t="s">
        <v>97</v>
      </c>
      <c r="C50" s="519"/>
      <c r="D50" s="519"/>
      <c r="E50" s="519"/>
      <c r="F50" s="276">
        <f>F52+F54+F56</f>
        <v>10.81</v>
      </c>
    </row>
    <row r="51" ht="20" customHeight="1" spans="1:6">
      <c r="A51" s="524" t="s">
        <v>34</v>
      </c>
      <c r="B51" s="525" t="s">
        <v>150</v>
      </c>
      <c r="C51" s="519"/>
      <c r="D51" s="519"/>
      <c r="E51" s="519"/>
      <c r="F51" s="34"/>
    </row>
    <row r="52" ht="20" customHeight="1" spans="1:6">
      <c r="A52" s="524" t="s">
        <v>46</v>
      </c>
      <c r="B52" s="525" t="s">
        <v>151</v>
      </c>
      <c r="C52" s="519"/>
      <c r="D52" s="519"/>
      <c r="E52" s="519"/>
      <c r="F52" s="34">
        <v>9.22</v>
      </c>
    </row>
    <row r="53" ht="20" customHeight="1" spans="1:6">
      <c r="A53" s="7" t="s">
        <v>83</v>
      </c>
      <c r="B53" s="11" t="s">
        <v>152</v>
      </c>
      <c r="C53" s="519"/>
      <c r="D53" s="519"/>
      <c r="E53" s="519"/>
      <c r="F53" s="34"/>
    </row>
    <row r="54" ht="20" customHeight="1" spans="1:6">
      <c r="A54" s="7" t="s">
        <v>121</v>
      </c>
      <c r="B54" s="11" t="s">
        <v>153</v>
      </c>
      <c r="C54" s="519"/>
      <c r="D54" s="519"/>
      <c r="E54" s="519"/>
      <c r="F54" s="34">
        <v>1.38</v>
      </c>
    </row>
    <row r="55" ht="20" customHeight="1" spans="1:6">
      <c r="A55" s="7"/>
      <c r="B55" s="11" t="s">
        <v>154</v>
      </c>
      <c r="C55" s="519"/>
      <c r="D55" s="519"/>
      <c r="E55" s="519"/>
      <c r="F55" s="34">
        <v>0.93</v>
      </c>
    </row>
    <row r="56" ht="20" customHeight="1" spans="1:6">
      <c r="A56" s="7" t="s">
        <v>135</v>
      </c>
      <c r="B56" s="11" t="s">
        <v>155</v>
      </c>
      <c r="C56" s="519"/>
      <c r="D56" s="519"/>
      <c r="E56" s="519"/>
      <c r="F56" s="34">
        <v>0.21</v>
      </c>
    </row>
    <row r="57" ht="20" customHeight="1" spans="1:6">
      <c r="A57" s="526"/>
      <c r="B57" s="522" t="s">
        <v>156</v>
      </c>
      <c r="C57" s="519"/>
      <c r="D57" s="519"/>
      <c r="E57" s="519"/>
      <c r="F57" s="527">
        <f>F26+F27+F34+F43+F50</f>
        <v>2302.37584383035</v>
      </c>
    </row>
  </sheetData>
  <mergeCells count="9">
    <mergeCell ref="A1:F1"/>
    <mergeCell ref="A4:B4"/>
    <mergeCell ref="A9:B9"/>
    <mergeCell ref="A13:B13"/>
    <mergeCell ref="A14:B14"/>
    <mergeCell ref="A15:B15"/>
    <mergeCell ref="A16:B16"/>
    <mergeCell ref="A17:B17"/>
    <mergeCell ref="A24:B24"/>
  </mergeCells>
  <pageMargins left="0.751388888888889" right="0.751388888888889" top="1" bottom="1" header="0.5" footer="0.5"/>
  <pageSetup paperSize="9" orientation="portrait" horizontalDpi="600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G243"/>
  <sheetViews>
    <sheetView zoomScale="110" zoomScaleNormal="110" topLeftCell="A205" workbookViewId="0">
      <selection activeCell="M68" sqref="M68"/>
    </sheetView>
  </sheetViews>
  <sheetFormatPr defaultColWidth="9" defaultRowHeight="14.25" outlineLevelCol="6"/>
  <cols>
    <col min="1" max="1" width="7.75" style="229" customWidth="1"/>
    <col min="2" max="2" width="32.875" style="323" customWidth="1"/>
    <col min="3" max="3" width="7.375" style="229" customWidth="1"/>
    <col min="4" max="4" width="11.125" style="387" customWidth="1"/>
    <col min="5" max="5" width="10.875" style="387" customWidth="1"/>
    <col min="6" max="6" width="11.875" style="387" customWidth="1"/>
    <col min="7" max="7" width="10.75" style="387" customWidth="1"/>
  </cols>
  <sheetData>
    <row r="1" ht="20" customHeight="1" spans="1:7">
      <c r="A1" s="428" t="s">
        <v>615</v>
      </c>
      <c r="B1" s="428"/>
      <c r="C1" s="428"/>
      <c r="D1" s="428"/>
      <c r="E1" s="428"/>
      <c r="F1" s="428"/>
      <c r="G1" s="429"/>
    </row>
    <row r="2" ht="20" customHeight="1" spans="1:7">
      <c r="A2" s="428"/>
      <c r="B2" s="428"/>
      <c r="C2" s="428"/>
      <c r="D2" s="428"/>
      <c r="E2" s="428"/>
      <c r="F2" s="428"/>
      <c r="G2" s="429"/>
    </row>
    <row r="3" ht="20" customHeight="1" spans="1:7">
      <c r="A3" s="430"/>
      <c r="B3" s="430"/>
      <c r="C3" s="430"/>
      <c r="D3" s="430"/>
      <c r="E3" s="430"/>
      <c r="F3" s="430"/>
      <c r="G3" s="429"/>
    </row>
    <row r="4" ht="20" customHeight="1" spans="1:7">
      <c r="A4" s="107" t="s">
        <v>158</v>
      </c>
      <c r="B4" s="107" t="s">
        <v>72</v>
      </c>
      <c r="C4" s="107" t="s">
        <v>159</v>
      </c>
      <c r="D4" s="107" t="s">
        <v>160</v>
      </c>
      <c r="E4" s="107" t="s">
        <v>161</v>
      </c>
      <c r="F4" s="107" t="s">
        <v>162</v>
      </c>
      <c r="G4" s="431"/>
    </row>
    <row r="5" ht="20" customHeight="1" spans="1:7">
      <c r="A5" s="432"/>
      <c r="B5" s="433" t="s">
        <v>77</v>
      </c>
      <c r="C5" s="432"/>
      <c r="D5" s="432"/>
      <c r="E5" s="432"/>
      <c r="F5" s="434">
        <f>F6</f>
        <v>18192715.8490989</v>
      </c>
      <c r="G5" s="435">
        <f>SUM(G7:G208)</f>
        <v>18192715.849099</v>
      </c>
    </row>
    <row r="6" ht="24" spans="1:7">
      <c r="A6" s="432"/>
      <c r="B6" s="436" t="s">
        <v>163</v>
      </c>
      <c r="C6" s="432"/>
      <c r="D6" s="432"/>
      <c r="E6" s="432"/>
      <c r="F6" s="434">
        <f>F7+F95+F97+F114</f>
        <v>18192715.8490989</v>
      </c>
      <c r="G6" s="435"/>
    </row>
    <row r="7" ht="20" customHeight="1" spans="1:7">
      <c r="A7" s="432" t="s">
        <v>34</v>
      </c>
      <c r="B7" s="433" t="s">
        <v>164</v>
      </c>
      <c r="C7" s="432"/>
      <c r="D7" s="432"/>
      <c r="E7" s="432"/>
      <c r="F7" s="434">
        <f>F8+F25</f>
        <v>13839786.1629341</v>
      </c>
      <c r="G7" s="435"/>
    </row>
    <row r="8" ht="20" customHeight="1" spans="1:7">
      <c r="A8" s="107">
        <v>1</v>
      </c>
      <c r="B8" s="371" t="s">
        <v>165</v>
      </c>
      <c r="C8" s="107"/>
      <c r="D8" s="107"/>
      <c r="E8" s="107"/>
      <c r="F8" s="426">
        <f>F9+F13+F17+F21</f>
        <v>1818213.4426615</v>
      </c>
      <c r="G8" s="437"/>
    </row>
    <row r="9" ht="20" customHeight="1" spans="1:7">
      <c r="A9" s="107">
        <v>1.1</v>
      </c>
      <c r="B9" s="371" t="s">
        <v>166</v>
      </c>
      <c r="C9" s="107" t="s">
        <v>167</v>
      </c>
      <c r="D9" s="425">
        <v>1927</v>
      </c>
      <c r="E9" s="425"/>
      <c r="F9" s="426">
        <f>SUM(F10:F12)</f>
        <v>709556.263414186</v>
      </c>
      <c r="G9" s="437"/>
    </row>
    <row r="10" ht="20" customHeight="1" spans="1:7">
      <c r="A10" s="107"/>
      <c r="B10" s="438" t="s">
        <v>168</v>
      </c>
      <c r="C10" s="439" t="s">
        <v>169</v>
      </c>
      <c r="D10" s="425">
        <f>D11/0.85</f>
        <v>2103.70588235294</v>
      </c>
      <c r="E10" s="425">
        <f>单价汇总表!D8/100+单价汇总表!D14/100*0.6</f>
        <v>4.96614564305881</v>
      </c>
      <c r="F10" s="426">
        <f t="shared" ref="F10:F12" si="0">D10*E10</f>
        <v>10447.3098019243</v>
      </c>
      <c r="G10" s="437">
        <f t="shared" ref="G10:G41" si="1">D10*E10</f>
        <v>10447.3098019242</v>
      </c>
    </row>
    <row r="11" ht="20" customHeight="1" spans="1:7">
      <c r="A11" s="107"/>
      <c r="B11" s="438" t="s">
        <v>170</v>
      </c>
      <c r="C11" s="439" t="s">
        <v>169</v>
      </c>
      <c r="D11" s="425">
        <f>1703*1.05</f>
        <v>1788.15</v>
      </c>
      <c r="E11" s="425">
        <f>单价汇总表!D34/100</f>
        <v>6.17193111109444</v>
      </c>
      <c r="F11" s="426">
        <f t="shared" si="0"/>
        <v>11036.3386163035</v>
      </c>
      <c r="G11" s="437">
        <f t="shared" si="1"/>
        <v>11036.3386163035</v>
      </c>
    </row>
    <row r="12" ht="20" customHeight="1" spans="1:7">
      <c r="A12" s="107"/>
      <c r="B12" s="438" t="s">
        <v>171</v>
      </c>
      <c r="C12" s="439" t="s">
        <v>169</v>
      </c>
      <c r="D12" s="425">
        <f>24515-D11/0.85</f>
        <v>22411.2941176471</v>
      </c>
      <c r="E12" s="425">
        <f>单价汇总表!D25/100+(15-5)*1.55*0.63*1.09</f>
        <v>30.7020474312618</v>
      </c>
      <c r="F12" s="426">
        <f t="shared" si="0"/>
        <v>688072.614995959</v>
      </c>
      <c r="G12" s="437">
        <f t="shared" si="1"/>
        <v>688072.61499596</v>
      </c>
    </row>
    <row r="13" ht="20" customHeight="1" spans="1:7">
      <c r="A13" s="107">
        <v>1.2</v>
      </c>
      <c r="B13" s="438" t="s">
        <v>172</v>
      </c>
      <c r="C13" s="439" t="s">
        <v>167</v>
      </c>
      <c r="D13" s="425">
        <v>2014</v>
      </c>
      <c r="E13" s="425"/>
      <c r="F13" s="426">
        <f>SUM(F14:F16)</f>
        <v>814012.444524487</v>
      </c>
      <c r="G13" s="437">
        <f t="shared" si="1"/>
        <v>0</v>
      </c>
    </row>
    <row r="14" ht="20" customHeight="1" spans="1:7">
      <c r="A14" s="107"/>
      <c r="B14" s="438" t="s">
        <v>168</v>
      </c>
      <c r="C14" s="439" t="s">
        <v>169</v>
      </c>
      <c r="D14" s="425">
        <f>D15/0.85</f>
        <v>4794.17647058824</v>
      </c>
      <c r="E14" s="425">
        <f t="shared" ref="E14:E19" si="2">E10</f>
        <v>4.96614564305881</v>
      </c>
      <c r="F14" s="426">
        <f t="shared" ref="F14:F16" si="3">D14*E14</f>
        <v>23808.5785914668</v>
      </c>
      <c r="G14" s="437">
        <f t="shared" si="1"/>
        <v>23808.5785914668</v>
      </c>
    </row>
    <row r="15" ht="20" customHeight="1" spans="1:7">
      <c r="A15" s="107"/>
      <c r="B15" s="438" t="s">
        <v>170</v>
      </c>
      <c r="C15" s="439" t="s">
        <v>169</v>
      </c>
      <c r="D15" s="425">
        <f>3881*1.05</f>
        <v>4075.05</v>
      </c>
      <c r="E15" s="425">
        <f t="shared" si="2"/>
        <v>6.17193111109444</v>
      </c>
      <c r="F15" s="426">
        <f t="shared" si="3"/>
        <v>25150.9278742654</v>
      </c>
      <c r="G15" s="437">
        <f t="shared" si="1"/>
        <v>25150.9278742654</v>
      </c>
    </row>
    <row r="16" ht="20" customHeight="1" spans="1:7">
      <c r="A16" s="107"/>
      <c r="B16" s="438" t="s">
        <v>173</v>
      </c>
      <c r="C16" s="439" t="s">
        <v>169</v>
      </c>
      <c r="D16" s="425">
        <f>29163-D15/0.85</f>
        <v>24368.8235294118</v>
      </c>
      <c r="E16" s="425">
        <f>单价汇总表!D25/100+(16-5)*1.55*0.61*1.09</f>
        <v>31.3947424312618</v>
      </c>
      <c r="F16" s="426">
        <f t="shared" si="3"/>
        <v>765052.938058754</v>
      </c>
      <c r="G16" s="437">
        <f t="shared" si="1"/>
        <v>765052.938058756</v>
      </c>
    </row>
    <row r="17" ht="20" customHeight="1" spans="1:7">
      <c r="A17" s="107">
        <v>1.3</v>
      </c>
      <c r="B17" s="438" t="s">
        <v>174</v>
      </c>
      <c r="C17" s="439" t="s">
        <v>167</v>
      </c>
      <c r="D17" s="425">
        <v>1036</v>
      </c>
      <c r="E17" s="425"/>
      <c r="F17" s="426">
        <f>SUM(F18:F20)</f>
        <v>228756.133132308</v>
      </c>
      <c r="G17" s="437">
        <f t="shared" si="1"/>
        <v>0</v>
      </c>
    </row>
    <row r="18" ht="20" customHeight="1" spans="1:7">
      <c r="A18" s="107"/>
      <c r="B18" s="438" t="s">
        <v>168</v>
      </c>
      <c r="C18" s="7" t="s">
        <v>169</v>
      </c>
      <c r="D18" s="425">
        <f>D19/0.85</f>
        <v>1131.76470588235</v>
      </c>
      <c r="E18" s="425">
        <f t="shared" si="2"/>
        <v>4.96614564305881</v>
      </c>
      <c r="F18" s="426">
        <f t="shared" ref="F18:F20" si="4">D18*E18</f>
        <v>5620.50836308539</v>
      </c>
      <c r="G18" s="437">
        <f t="shared" si="1"/>
        <v>5620.50836308537</v>
      </c>
    </row>
    <row r="19" ht="20" customHeight="1" spans="1:7">
      <c r="A19" s="107"/>
      <c r="B19" s="438" t="s">
        <v>170</v>
      </c>
      <c r="C19" s="7" t="s">
        <v>175</v>
      </c>
      <c r="D19" s="425">
        <v>962</v>
      </c>
      <c r="E19" s="425">
        <f t="shared" si="2"/>
        <v>6.17193111109444</v>
      </c>
      <c r="F19" s="426">
        <f t="shared" si="4"/>
        <v>5937.39772887285</v>
      </c>
      <c r="G19" s="437">
        <f t="shared" si="1"/>
        <v>5937.39772887285</v>
      </c>
    </row>
    <row r="20" ht="20" customHeight="1" spans="1:7">
      <c r="A20" s="107"/>
      <c r="B20" s="438" t="s">
        <v>176</v>
      </c>
      <c r="C20" s="439" t="s">
        <v>169</v>
      </c>
      <c r="D20" s="425">
        <f>7915-D19/0.85</f>
        <v>6783.23529411765</v>
      </c>
      <c r="E20" s="425">
        <f>单价汇总表!D25/100+(17-5)*1.55*0.59*1.09</f>
        <v>32.0198574312618</v>
      </c>
      <c r="F20" s="426">
        <f t="shared" si="4"/>
        <v>217198.22704035</v>
      </c>
      <c r="G20" s="437">
        <f t="shared" si="1"/>
        <v>217198.22704035</v>
      </c>
    </row>
    <row r="21" ht="20" customHeight="1" spans="1:7">
      <c r="A21" s="440" t="s">
        <v>177</v>
      </c>
      <c r="B21" s="371" t="s">
        <v>178</v>
      </c>
      <c r="C21" s="107" t="s">
        <v>167</v>
      </c>
      <c r="D21" s="425">
        <f>40204-39859</f>
        <v>345</v>
      </c>
      <c r="E21" s="425"/>
      <c r="F21" s="426">
        <f>SUM(F22:F24)</f>
        <v>65888.6015905191</v>
      </c>
      <c r="G21" s="437">
        <f t="shared" si="1"/>
        <v>0</v>
      </c>
    </row>
    <row r="22" ht="20" customHeight="1" spans="1:7">
      <c r="A22" s="107"/>
      <c r="B22" s="438" t="s">
        <v>168</v>
      </c>
      <c r="C22" s="7" t="s">
        <v>169</v>
      </c>
      <c r="D22" s="425">
        <f>D23/0.85</f>
        <v>430.588235294118</v>
      </c>
      <c r="E22" s="425">
        <f t="shared" ref="E22:E24" si="5">E18</f>
        <v>4.96614564305881</v>
      </c>
      <c r="F22" s="426">
        <f t="shared" ref="F22:F24" si="6">D22*E22</f>
        <v>2138.36388865827</v>
      </c>
      <c r="G22" s="437">
        <f t="shared" si="1"/>
        <v>2138.36388865827</v>
      </c>
    </row>
    <row r="23" ht="20" customHeight="1" spans="1:7">
      <c r="A23" s="107"/>
      <c r="B23" s="438" t="s">
        <v>170</v>
      </c>
      <c r="C23" s="439" t="s">
        <v>169</v>
      </c>
      <c r="D23" s="425">
        <v>366</v>
      </c>
      <c r="E23" s="425">
        <f t="shared" si="5"/>
        <v>6.17193111109444</v>
      </c>
      <c r="F23" s="426">
        <f t="shared" si="6"/>
        <v>2258.92678666057</v>
      </c>
      <c r="G23" s="437">
        <f t="shared" si="1"/>
        <v>2258.92678666057</v>
      </c>
    </row>
    <row r="24" ht="20" customHeight="1" spans="1:7">
      <c r="A24" s="107"/>
      <c r="B24" s="438" t="s">
        <v>176</v>
      </c>
      <c r="C24" s="439" t="s">
        <v>169</v>
      </c>
      <c r="D24" s="425">
        <f>2351-D23/0.85</f>
        <v>1920.41176470588</v>
      </c>
      <c r="E24" s="425">
        <f t="shared" si="5"/>
        <v>32.0198574312618</v>
      </c>
      <c r="F24" s="426">
        <f t="shared" si="6"/>
        <v>61491.3109152002</v>
      </c>
      <c r="G24" s="437">
        <f t="shared" si="1"/>
        <v>61491.3109152002</v>
      </c>
    </row>
    <row r="25" ht="20" customHeight="1" spans="1:7">
      <c r="A25" s="107">
        <v>2</v>
      </c>
      <c r="B25" s="371" t="s">
        <v>179</v>
      </c>
      <c r="C25" s="107"/>
      <c r="D25" s="425"/>
      <c r="E25" s="425"/>
      <c r="F25" s="426">
        <f>F26+F30+F34+F42+F38</f>
        <v>12021572.7202726</v>
      </c>
      <c r="G25" s="437">
        <f t="shared" si="1"/>
        <v>0</v>
      </c>
    </row>
    <row r="26" ht="20" customHeight="1" spans="1:7">
      <c r="A26" s="107">
        <v>2.1</v>
      </c>
      <c r="B26" s="371" t="s">
        <v>166</v>
      </c>
      <c r="C26" s="107" t="s">
        <v>167</v>
      </c>
      <c r="D26" s="425">
        <v>1927</v>
      </c>
      <c r="E26" s="425"/>
      <c r="F26" s="426">
        <f>SUM(F27:F29)</f>
        <v>3047545.6468794</v>
      </c>
      <c r="G26" s="437">
        <f t="shared" si="1"/>
        <v>0</v>
      </c>
    </row>
    <row r="27" ht="20" customHeight="1" spans="1:7">
      <c r="A27" s="107"/>
      <c r="B27" s="441" t="s">
        <v>180</v>
      </c>
      <c r="C27" s="7" t="s">
        <v>169</v>
      </c>
      <c r="D27" s="425">
        <v>6070.05</v>
      </c>
      <c r="E27" s="425">
        <f>单价汇总表!D146/100</f>
        <v>383.450770420328</v>
      </c>
      <c r="F27" s="426">
        <f t="shared" ref="F27:F29" si="7">D27*E27</f>
        <v>2327565.34898991</v>
      </c>
      <c r="G27" s="437">
        <f t="shared" si="1"/>
        <v>2327565.34898991</v>
      </c>
    </row>
    <row r="28" ht="20" customHeight="1" spans="1:7">
      <c r="A28" s="107"/>
      <c r="B28" s="11" t="s">
        <v>181</v>
      </c>
      <c r="C28" s="7" t="s">
        <v>175</v>
      </c>
      <c r="D28" s="425">
        <v>23268.53</v>
      </c>
      <c r="E28" s="425">
        <f>单价汇总表!D71/100</f>
        <v>4.53092466547082</v>
      </c>
      <c r="F28" s="426">
        <f t="shared" si="7"/>
        <v>105427.956506248</v>
      </c>
      <c r="G28" s="437">
        <f t="shared" si="1"/>
        <v>105427.956506248</v>
      </c>
    </row>
    <row r="29" ht="20" customHeight="1" spans="1:7">
      <c r="A29" s="107"/>
      <c r="B29" s="442" t="s">
        <v>182</v>
      </c>
      <c r="C29" s="439" t="s">
        <v>169</v>
      </c>
      <c r="D29" s="443">
        <v>2428.02</v>
      </c>
      <c r="E29" s="425">
        <f>单价汇总表!D150/100</f>
        <v>253.108434602368</v>
      </c>
      <c r="F29" s="426">
        <f t="shared" si="7"/>
        <v>614552.341383242</v>
      </c>
      <c r="G29" s="437">
        <f t="shared" si="1"/>
        <v>614552.341383242</v>
      </c>
    </row>
    <row r="30" ht="20" customHeight="1" spans="1:7">
      <c r="A30" s="440">
        <v>2.2</v>
      </c>
      <c r="B30" s="444" t="s">
        <v>172</v>
      </c>
      <c r="C30" s="107" t="s">
        <v>167</v>
      </c>
      <c r="D30" s="443">
        <v>4028</v>
      </c>
      <c r="E30" s="425"/>
      <c r="F30" s="426">
        <f>SUM(F31:F33)</f>
        <v>6370271.80818755</v>
      </c>
      <c r="G30" s="437">
        <f t="shared" si="1"/>
        <v>0</v>
      </c>
    </row>
    <row r="31" ht="20" customHeight="1" spans="1:7">
      <c r="A31" s="440"/>
      <c r="B31" s="441" t="s">
        <v>184</v>
      </c>
      <c r="C31" s="7" t="s">
        <v>169</v>
      </c>
      <c r="D31" s="443">
        <v>12688.2</v>
      </c>
      <c r="E31" s="425">
        <f t="shared" ref="E31:E33" si="8">E27</f>
        <v>383.450770420328</v>
      </c>
      <c r="F31" s="426">
        <f t="shared" ref="F31:F33" si="9">D31*E31</f>
        <v>4865300.06524721</v>
      </c>
      <c r="G31" s="437">
        <f t="shared" si="1"/>
        <v>4865300.06524721</v>
      </c>
    </row>
    <row r="32" ht="20" customHeight="1" spans="1:7">
      <c r="A32" s="440"/>
      <c r="B32" s="11" t="s">
        <v>185</v>
      </c>
      <c r="C32" s="7" t="s">
        <v>175</v>
      </c>
      <c r="D32" s="443">
        <v>48638.1</v>
      </c>
      <c r="E32" s="425">
        <f t="shared" si="8"/>
        <v>4.53092466547082</v>
      </c>
      <c r="F32" s="426">
        <f t="shared" si="9"/>
        <v>220375.566971636</v>
      </c>
      <c r="G32" s="437">
        <f t="shared" si="1"/>
        <v>220375.566971636</v>
      </c>
    </row>
    <row r="33" ht="20" customHeight="1" spans="1:7">
      <c r="A33" s="440"/>
      <c r="B33" s="442" t="s">
        <v>186</v>
      </c>
      <c r="C33" s="439" t="s">
        <v>169</v>
      </c>
      <c r="D33" s="443">
        <v>5075.28</v>
      </c>
      <c r="E33" s="425">
        <f t="shared" si="8"/>
        <v>253.108434602368</v>
      </c>
      <c r="F33" s="426">
        <f t="shared" si="9"/>
        <v>1284596.17596871</v>
      </c>
      <c r="G33" s="437">
        <f t="shared" si="1"/>
        <v>1284596.17596871</v>
      </c>
    </row>
    <row r="34" ht="20" customHeight="1" spans="1:7">
      <c r="A34" s="440">
        <v>2.3</v>
      </c>
      <c r="B34" s="444" t="s">
        <v>174</v>
      </c>
      <c r="C34" s="107" t="s">
        <v>167</v>
      </c>
      <c r="D34" s="443">
        <v>1036</v>
      </c>
      <c r="E34" s="425"/>
      <c r="F34" s="426">
        <f>SUM(F35:F37)</f>
        <v>1638431.37866989</v>
      </c>
      <c r="G34" s="437">
        <f t="shared" si="1"/>
        <v>0</v>
      </c>
    </row>
    <row r="35" ht="20" customHeight="1" spans="1:7">
      <c r="A35" s="440"/>
      <c r="B35" s="441" t="s">
        <v>184</v>
      </c>
      <c r="C35" s="7" t="s">
        <v>169</v>
      </c>
      <c r="D35" s="443">
        <v>3263.4</v>
      </c>
      <c r="E35" s="425">
        <f t="shared" ref="E35:E37" si="10">E31</f>
        <v>383.450770420328</v>
      </c>
      <c r="F35" s="426">
        <f t="shared" ref="F35:F37" si="11">D35*E35</f>
        <v>1251353.2441897</v>
      </c>
      <c r="G35" s="437">
        <f t="shared" si="1"/>
        <v>1251353.2441897</v>
      </c>
    </row>
    <row r="36" ht="20" customHeight="1" spans="1:7">
      <c r="A36" s="440"/>
      <c r="B36" s="11" t="s">
        <v>185</v>
      </c>
      <c r="C36" s="7" t="s">
        <v>175</v>
      </c>
      <c r="D36" s="443">
        <v>12509.7</v>
      </c>
      <c r="E36" s="425">
        <f t="shared" si="10"/>
        <v>4.53092466547082</v>
      </c>
      <c r="F36" s="426">
        <f t="shared" si="11"/>
        <v>56680.5082876403</v>
      </c>
      <c r="G36" s="437">
        <f t="shared" si="1"/>
        <v>56680.5082876403</v>
      </c>
    </row>
    <row r="37" ht="20" customHeight="1" spans="1:7">
      <c r="A37" s="440"/>
      <c r="B37" s="442" t="s">
        <v>186</v>
      </c>
      <c r="C37" s="439" t="s">
        <v>169</v>
      </c>
      <c r="D37" s="443">
        <v>1305.36</v>
      </c>
      <c r="E37" s="425">
        <f t="shared" si="10"/>
        <v>253.108434602368</v>
      </c>
      <c r="F37" s="426">
        <f t="shared" si="11"/>
        <v>330397.626192547</v>
      </c>
      <c r="G37" s="437">
        <f t="shared" si="1"/>
        <v>330397.626192547</v>
      </c>
    </row>
    <row r="38" ht="20" customHeight="1" spans="1:7">
      <c r="A38" s="445" t="s">
        <v>616</v>
      </c>
      <c r="B38" s="446" t="s">
        <v>617</v>
      </c>
      <c r="C38" s="447" t="s">
        <v>167</v>
      </c>
      <c r="D38" s="443">
        <v>345</v>
      </c>
      <c r="E38" s="425"/>
      <c r="F38" s="426">
        <f>SUM(F39:F41)</f>
        <v>545616.649721332</v>
      </c>
      <c r="G38" s="437">
        <f t="shared" si="1"/>
        <v>0</v>
      </c>
    </row>
    <row r="39" ht="20" customHeight="1" spans="1:7">
      <c r="A39" s="440"/>
      <c r="B39" s="448" t="s">
        <v>180</v>
      </c>
      <c r="C39" s="449" t="s">
        <v>618</v>
      </c>
      <c r="D39" s="443">
        <v>1086.75</v>
      </c>
      <c r="E39" s="425">
        <f>E35</f>
        <v>383.450770420328</v>
      </c>
      <c r="F39" s="426">
        <f>D39*E39</f>
        <v>416715.124754291</v>
      </c>
      <c r="G39" s="437">
        <f t="shared" si="1"/>
        <v>416715.124754291</v>
      </c>
    </row>
    <row r="40" ht="20" customHeight="1" spans="1:7">
      <c r="A40" s="440"/>
      <c r="B40" s="450" t="s">
        <v>619</v>
      </c>
      <c r="C40" s="449" t="s">
        <v>620</v>
      </c>
      <c r="D40" s="443">
        <v>4165.88</v>
      </c>
      <c r="E40" s="425">
        <f>E36</f>
        <v>4.53092466547082</v>
      </c>
      <c r="F40" s="426">
        <f>D40*E40</f>
        <v>18875.2884453916</v>
      </c>
      <c r="G40" s="437">
        <f t="shared" si="1"/>
        <v>18875.2884453916</v>
      </c>
    </row>
    <row r="41" ht="20" customHeight="1" spans="1:7">
      <c r="A41" s="440"/>
      <c r="B41" s="451" t="s">
        <v>621</v>
      </c>
      <c r="C41" s="452" t="s">
        <v>618</v>
      </c>
      <c r="D41" s="443">
        <v>434.7</v>
      </c>
      <c r="E41" s="425">
        <f>E37</f>
        <v>253.108434602368</v>
      </c>
      <c r="F41" s="426">
        <f>D41*E41</f>
        <v>110026.236521649</v>
      </c>
      <c r="G41" s="437">
        <f t="shared" si="1"/>
        <v>110026.236521649</v>
      </c>
    </row>
    <row r="42" ht="20" customHeight="1" spans="1:7">
      <c r="A42" s="107">
        <v>2.5</v>
      </c>
      <c r="B42" s="371" t="s">
        <v>188</v>
      </c>
      <c r="C42" s="107"/>
      <c r="D42" s="443"/>
      <c r="E42" s="425"/>
      <c r="F42" s="426">
        <f>F43+F67+F88</f>
        <v>419707.236814411</v>
      </c>
      <c r="G42" s="437">
        <f t="shared" ref="G42:G77" si="12">D42*E42</f>
        <v>0</v>
      </c>
    </row>
    <row r="43" ht="20" customHeight="1" spans="1:7">
      <c r="A43" s="107" t="s">
        <v>622</v>
      </c>
      <c r="B43" s="371" t="s">
        <v>190</v>
      </c>
      <c r="C43" s="107"/>
      <c r="D43" s="443"/>
      <c r="E43" s="425"/>
      <c r="F43" s="426">
        <f>F44+F56</f>
        <v>153355.478012751</v>
      </c>
      <c r="G43" s="437">
        <f t="shared" si="12"/>
        <v>0</v>
      </c>
    </row>
    <row r="44" ht="20" customHeight="1" spans="1:7">
      <c r="A44" s="107" t="s">
        <v>623</v>
      </c>
      <c r="B44" s="453" t="s">
        <v>206</v>
      </c>
      <c r="C44" s="454" t="s">
        <v>193</v>
      </c>
      <c r="D44" s="443">
        <v>1</v>
      </c>
      <c r="E44" s="425"/>
      <c r="F44" s="426">
        <f>SUM(F45:F55)</f>
        <v>71966.98813178</v>
      </c>
      <c r="G44" s="437">
        <f t="shared" si="12"/>
        <v>0</v>
      </c>
    </row>
    <row r="45" ht="20" customHeight="1" spans="1:7">
      <c r="A45" s="107"/>
      <c r="B45" s="453" t="s">
        <v>168</v>
      </c>
      <c r="C45" s="7" t="s">
        <v>169</v>
      </c>
      <c r="D45" s="455">
        <v>177.1875</v>
      </c>
      <c r="E45" s="425">
        <f>建筑概算核!H53</f>
        <v>5.59741698768686</v>
      </c>
      <c r="F45" s="426">
        <f t="shared" ref="F45:F55" si="13">D45*E45</f>
        <v>991.792322505766</v>
      </c>
      <c r="G45" s="437">
        <f t="shared" si="12"/>
        <v>991.792322505766</v>
      </c>
    </row>
    <row r="46" ht="20" customHeight="1" spans="1:7">
      <c r="A46" s="107"/>
      <c r="B46" s="453" t="s">
        <v>194</v>
      </c>
      <c r="C46" s="7" t="s">
        <v>169</v>
      </c>
      <c r="D46" s="455">
        <v>88.263</v>
      </c>
      <c r="E46" s="425">
        <f>建筑概算核!H54</f>
        <v>13.9556177229579</v>
      </c>
      <c r="F46" s="426">
        <f t="shared" si="13"/>
        <v>1231.76468708143</v>
      </c>
      <c r="G46" s="437">
        <f t="shared" si="12"/>
        <v>1231.76468708143</v>
      </c>
    </row>
    <row r="47" ht="20" customHeight="1" spans="1:7">
      <c r="A47" s="107"/>
      <c r="B47" s="453" t="s">
        <v>195</v>
      </c>
      <c r="C47" s="454" t="s">
        <v>169</v>
      </c>
      <c r="D47" s="455">
        <v>23.394</v>
      </c>
      <c r="E47" s="425">
        <f>建筑概算核!H55</f>
        <v>339.924364001393</v>
      </c>
      <c r="F47" s="426">
        <f t="shared" si="13"/>
        <v>7952.19057144859</v>
      </c>
      <c r="G47" s="437">
        <f t="shared" si="12"/>
        <v>7952.19057144859</v>
      </c>
    </row>
    <row r="48" ht="20" customHeight="1" spans="1:7">
      <c r="A48" s="107"/>
      <c r="B48" s="453" t="s">
        <v>196</v>
      </c>
      <c r="C48" s="7" t="s">
        <v>169</v>
      </c>
      <c r="D48" s="455">
        <v>79.7055</v>
      </c>
      <c r="E48" s="425">
        <f>建筑概算核!H56</f>
        <v>334.4306984649</v>
      </c>
      <c r="F48" s="426">
        <f t="shared" si="13"/>
        <v>26655.9660364941</v>
      </c>
      <c r="G48" s="437">
        <f t="shared" si="12"/>
        <v>26655.9660364941</v>
      </c>
    </row>
    <row r="49" ht="20" customHeight="1" spans="1:7">
      <c r="A49" s="107"/>
      <c r="B49" s="453" t="s">
        <v>197</v>
      </c>
      <c r="C49" s="7" t="s">
        <v>169</v>
      </c>
      <c r="D49" s="455">
        <v>9.66</v>
      </c>
      <c r="E49" s="425">
        <f>建筑概算核!H57</f>
        <v>648.095065697824</v>
      </c>
      <c r="F49" s="426">
        <f t="shared" si="13"/>
        <v>6260.59833464098</v>
      </c>
      <c r="G49" s="437">
        <f t="shared" si="12"/>
        <v>6260.59833464098</v>
      </c>
    </row>
    <row r="50" ht="20" customHeight="1" spans="1:7">
      <c r="A50" s="107"/>
      <c r="B50" s="453" t="s">
        <v>198</v>
      </c>
      <c r="C50" s="454" t="s">
        <v>169</v>
      </c>
      <c r="D50" s="455">
        <v>1.89</v>
      </c>
      <c r="E50" s="425">
        <f>建筑概算核!H58</f>
        <v>528.027088954994</v>
      </c>
      <c r="F50" s="426">
        <f t="shared" si="13"/>
        <v>997.971198124939</v>
      </c>
      <c r="G50" s="437">
        <f t="shared" si="12"/>
        <v>997.971198124939</v>
      </c>
    </row>
    <row r="51" ht="20" customHeight="1" spans="1:7">
      <c r="A51" s="107"/>
      <c r="B51" s="453" t="s">
        <v>199</v>
      </c>
      <c r="C51" s="454" t="s">
        <v>200</v>
      </c>
      <c r="D51" s="455">
        <v>0.2098635</v>
      </c>
      <c r="E51" s="425">
        <f>建筑概算核!H59</f>
        <v>6774.28452813344</v>
      </c>
      <c r="F51" s="426">
        <f t="shared" si="13"/>
        <v>1421.67506106993</v>
      </c>
      <c r="G51" s="437">
        <f t="shared" si="12"/>
        <v>1421.67506106993</v>
      </c>
    </row>
    <row r="52" ht="20" customHeight="1" spans="1:7">
      <c r="A52" s="107"/>
      <c r="B52" s="453" t="s">
        <v>207</v>
      </c>
      <c r="C52" s="454" t="s">
        <v>167</v>
      </c>
      <c r="D52" s="455">
        <v>9.45</v>
      </c>
      <c r="E52" s="425">
        <f>建筑概算核!H60</f>
        <v>1829.50651315872</v>
      </c>
      <c r="F52" s="426">
        <f t="shared" si="13"/>
        <v>17288.8365493499</v>
      </c>
      <c r="G52" s="437">
        <f t="shared" si="12"/>
        <v>17288.8365493499</v>
      </c>
    </row>
    <row r="53" ht="20" customHeight="1" spans="1:7">
      <c r="A53" s="107"/>
      <c r="B53" s="453" t="s">
        <v>202</v>
      </c>
      <c r="C53" s="7" t="s">
        <v>169</v>
      </c>
      <c r="D53" s="455">
        <v>7.56</v>
      </c>
      <c r="E53" s="425">
        <f>建筑概算核!H61</f>
        <v>622.020604189982</v>
      </c>
      <c r="F53" s="426">
        <f t="shared" si="13"/>
        <v>4702.47576767626</v>
      </c>
      <c r="G53" s="437">
        <f t="shared" si="12"/>
        <v>4702.47576767626</v>
      </c>
    </row>
    <row r="54" ht="20" customHeight="1" spans="1:7">
      <c r="A54" s="107"/>
      <c r="B54" s="453" t="s">
        <v>596</v>
      </c>
      <c r="C54" s="454" t="s">
        <v>169</v>
      </c>
      <c r="D54" s="455">
        <v>12.474</v>
      </c>
      <c r="E54" s="425">
        <f>单价汇总表!D44/100</f>
        <v>318.631333832418</v>
      </c>
      <c r="F54" s="426">
        <f t="shared" si="13"/>
        <v>3974.60725822558</v>
      </c>
      <c r="G54" s="437">
        <f t="shared" si="12"/>
        <v>3974.60725822558</v>
      </c>
    </row>
    <row r="55" ht="20" customHeight="1" spans="1:7">
      <c r="A55" s="107"/>
      <c r="B55" s="453" t="s">
        <v>204</v>
      </c>
      <c r="C55" s="454" t="s">
        <v>169</v>
      </c>
      <c r="D55" s="443">
        <f>D49+D50+D53</f>
        <v>19.11</v>
      </c>
      <c r="E55" s="425">
        <f>建筑概算核!H63</f>
        <v>25.59447122776</v>
      </c>
      <c r="F55" s="426">
        <f t="shared" si="13"/>
        <v>489.110345162494</v>
      </c>
      <c r="G55" s="437">
        <f t="shared" si="12"/>
        <v>489.110345162494</v>
      </c>
    </row>
    <row r="56" ht="20" customHeight="1" spans="1:7">
      <c r="A56" s="107" t="s">
        <v>624</v>
      </c>
      <c r="B56" s="371" t="s">
        <v>209</v>
      </c>
      <c r="C56" s="107" t="s">
        <v>193</v>
      </c>
      <c r="D56" s="443">
        <v>1</v>
      </c>
      <c r="E56" s="425"/>
      <c r="F56" s="426">
        <f>SUM(F57:F66)</f>
        <v>81388.4898809715</v>
      </c>
      <c r="G56" s="437">
        <f t="shared" si="12"/>
        <v>0</v>
      </c>
    </row>
    <row r="57" ht="20" customHeight="1" spans="1:7">
      <c r="A57" s="107"/>
      <c r="B57" s="11" t="s">
        <v>168</v>
      </c>
      <c r="C57" s="7" t="s">
        <v>169</v>
      </c>
      <c r="D57" s="455">
        <v>339.3201</v>
      </c>
      <c r="E57" s="425">
        <f>E45</f>
        <v>5.59741698768686</v>
      </c>
      <c r="F57" s="426">
        <f t="shared" ref="F57:F66" si="14">D57*E57</f>
        <v>1899.3160920036</v>
      </c>
      <c r="G57" s="437">
        <f t="shared" si="12"/>
        <v>1899.3160920036</v>
      </c>
    </row>
    <row r="58" ht="20" customHeight="1" spans="1:7">
      <c r="A58" s="107"/>
      <c r="B58" s="11" t="s">
        <v>170</v>
      </c>
      <c r="C58" s="7" t="s">
        <v>169</v>
      </c>
      <c r="D58" s="455">
        <v>68.4474</v>
      </c>
      <c r="E58" s="425">
        <f>E46</f>
        <v>13.9556177229579</v>
      </c>
      <c r="F58" s="426">
        <f t="shared" si="14"/>
        <v>955.225748530389</v>
      </c>
      <c r="G58" s="437">
        <f t="shared" si="12"/>
        <v>955.225748530389</v>
      </c>
    </row>
    <row r="59" ht="20" customHeight="1" spans="1:7">
      <c r="A59" s="8"/>
      <c r="B59" s="11" t="s">
        <v>210</v>
      </c>
      <c r="C59" s="7" t="s">
        <v>169</v>
      </c>
      <c r="D59" s="455">
        <v>5.67</v>
      </c>
      <c r="E59" s="425">
        <f>单价汇总表!D121/100</f>
        <v>941.178170844581</v>
      </c>
      <c r="F59" s="426">
        <f t="shared" si="14"/>
        <v>5336.48022868877</v>
      </c>
      <c r="G59" s="437">
        <f t="shared" si="12"/>
        <v>5336.48022868877</v>
      </c>
    </row>
    <row r="60" ht="20" customHeight="1" spans="1:7">
      <c r="A60" s="8"/>
      <c r="B60" s="11" t="s">
        <v>211</v>
      </c>
      <c r="C60" s="7" t="s">
        <v>169</v>
      </c>
      <c r="D60" s="455">
        <v>5.67</v>
      </c>
      <c r="E60" s="425">
        <f>新定额单价!R1349/100</f>
        <v>709.470464159042</v>
      </c>
      <c r="F60" s="426">
        <f t="shared" si="14"/>
        <v>4022.69753178177</v>
      </c>
      <c r="G60" s="437">
        <f t="shared" si="12"/>
        <v>4022.69753178177</v>
      </c>
    </row>
    <row r="61" ht="20" customHeight="1" spans="1:7">
      <c r="A61" s="8"/>
      <c r="B61" s="11" t="s">
        <v>212</v>
      </c>
      <c r="C61" s="7" t="s">
        <v>169</v>
      </c>
      <c r="D61" s="455">
        <v>1.764</v>
      </c>
      <c r="E61" s="425">
        <f>单价汇总表!D108/100</f>
        <v>571.952151590819</v>
      </c>
      <c r="F61" s="426">
        <f t="shared" si="14"/>
        <v>1008.9235954062</v>
      </c>
      <c r="G61" s="437">
        <f t="shared" si="12"/>
        <v>1008.9235954062</v>
      </c>
    </row>
    <row r="62" ht="20" customHeight="1" spans="1:7">
      <c r="A62" s="8"/>
      <c r="B62" s="11" t="s">
        <v>197</v>
      </c>
      <c r="C62" s="7" t="s">
        <v>169</v>
      </c>
      <c r="D62" s="455">
        <v>21.504</v>
      </c>
      <c r="E62" s="425">
        <f>E49</f>
        <v>648.095065697824</v>
      </c>
      <c r="F62" s="426">
        <f t="shared" si="14"/>
        <v>13936.636292766</v>
      </c>
      <c r="G62" s="437">
        <f t="shared" si="12"/>
        <v>13936.636292766</v>
      </c>
    </row>
    <row r="63" ht="20" customHeight="1" spans="1:7">
      <c r="A63" s="8"/>
      <c r="B63" s="11" t="s">
        <v>195</v>
      </c>
      <c r="C63" s="7" t="s">
        <v>169</v>
      </c>
      <c r="D63" s="455">
        <v>23.394</v>
      </c>
      <c r="E63" s="425">
        <f>E47</f>
        <v>339.924364001393</v>
      </c>
      <c r="F63" s="426">
        <f t="shared" si="14"/>
        <v>7952.19057144859</v>
      </c>
      <c r="G63" s="437">
        <f t="shared" si="12"/>
        <v>7952.19057144859</v>
      </c>
    </row>
    <row r="64" ht="20" customHeight="1" spans="1:7">
      <c r="A64" s="8"/>
      <c r="B64" s="11" t="s">
        <v>213</v>
      </c>
      <c r="C64" s="7" t="s">
        <v>169</v>
      </c>
      <c r="D64" s="455">
        <v>126.2247</v>
      </c>
      <c r="E64" s="425">
        <f>建筑概算核!H72</f>
        <v>334.4306984649</v>
      </c>
      <c r="F64" s="426">
        <f t="shared" si="14"/>
        <v>42213.4145845225</v>
      </c>
      <c r="G64" s="437">
        <f t="shared" si="12"/>
        <v>42213.4145845225</v>
      </c>
    </row>
    <row r="65" ht="20" customHeight="1" spans="1:7">
      <c r="A65" s="8"/>
      <c r="B65" s="11" t="s">
        <v>214</v>
      </c>
      <c r="C65" s="7" t="s">
        <v>200</v>
      </c>
      <c r="D65" s="455">
        <v>0.4691022</v>
      </c>
      <c r="E65" s="425">
        <f>建筑概算核!H73</f>
        <v>6774.28452813344</v>
      </c>
      <c r="F65" s="426">
        <f t="shared" si="14"/>
        <v>3177.83177557336</v>
      </c>
      <c r="G65" s="437">
        <f t="shared" si="12"/>
        <v>3177.83177557336</v>
      </c>
    </row>
    <row r="66" ht="20" customHeight="1" spans="1:7">
      <c r="A66" s="107"/>
      <c r="B66" s="453" t="s">
        <v>204</v>
      </c>
      <c r="C66" s="454" t="s">
        <v>169</v>
      </c>
      <c r="D66" s="443">
        <f>D59+D60+D61+D62</f>
        <v>34.608</v>
      </c>
      <c r="E66" s="425">
        <f>建筑概算核!H74</f>
        <v>25.59447122776</v>
      </c>
      <c r="F66" s="426">
        <f t="shared" si="14"/>
        <v>885.773460250318</v>
      </c>
      <c r="G66" s="437">
        <f t="shared" ref="G66:G129" si="15">D66*E66</f>
        <v>885.773460250318</v>
      </c>
    </row>
    <row r="67" ht="20" customHeight="1" spans="1:7">
      <c r="A67" s="107" t="s">
        <v>625</v>
      </c>
      <c r="B67" s="371" t="s">
        <v>216</v>
      </c>
      <c r="C67" s="107"/>
      <c r="D67" s="443"/>
      <c r="E67" s="425"/>
      <c r="F67" s="426">
        <f>F68+F78</f>
        <v>195240.806127112</v>
      </c>
      <c r="G67" s="437">
        <f t="shared" si="15"/>
        <v>0</v>
      </c>
    </row>
    <row r="68" ht="20" customHeight="1" spans="1:7">
      <c r="A68" s="107" t="s">
        <v>626</v>
      </c>
      <c r="B68" s="444" t="s">
        <v>218</v>
      </c>
      <c r="C68" s="456" t="s">
        <v>193</v>
      </c>
      <c r="D68" s="457">
        <v>3</v>
      </c>
      <c r="E68" s="425"/>
      <c r="F68" s="426">
        <f>SUM(F69:F77)</f>
        <v>72465.0309253653</v>
      </c>
      <c r="G68" s="437">
        <f t="shared" si="15"/>
        <v>0</v>
      </c>
    </row>
    <row r="69" ht="20" customHeight="1" spans="1:7">
      <c r="A69" s="107"/>
      <c r="B69" s="11" t="s">
        <v>168</v>
      </c>
      <c r="C69" s="7" t="s">
        <v>169</v>
      </c>
      <c r="D69" s="458">
        <v>66.4453125</v>
      </c>
      <c r="E69" s="425">
        <f t="shared" ref="E69:E74" si="16">E57</f>
        <v>5.59741698768686</v>
      </c>
      <c r="F69" s="426">
        <f t="shared" ref="F69:F77" si="17">D69*E69</f>
        <v>371.922120939662</v>
      </c>
      <c r="G69" s="437">
        <f t="shared" si="15"/>
        <v>371.922120939662</v>
      </c>
    </row>
    <row r="70" ht="20" customHeight="1" spans="1:7">
      <c r="A70" s="107"/>
      <c r="B70" s="11" t="s">
        <v>194</v>
      </c>
      <c r="C70" s="7" t="s">
        <v>169</v>
      </c>
      <c r="D70" s="458">
        <v>33.098625</v>
      </c>
      <c r="E70" s="425">
        <f t="shared" si="16"/>
        <v>13.9556177229579</v>
      </c>
      <c r="F70" s="426">
        <f t="shared" si="17"/>
        <v>461.911757655537</v>
      </c>
      <c r="G70" s="437">
        <f t="shared" si="15"/>
        <v>461.911757655537</v>
      </c>
    </row>
    <row r="71" ht="20" customHeight="1" spans="1:7">
      <c r="A71" s="107"/>
      <c r="B71" s="11" t="s">
        <v>219</v>
      </c>
      <c r="C71" s="7" t="s">
        <v>169</v>
      </c>
      <c r="D71" s="458">
        <v>73.08</v>
      </c>
      <c r="E71" s="425">
        <f>单价汇总表!D126/100+单价汇总表!D26/100</f>
        <v>39.6035815993351</v>
      </c>
      <c r="F71" s="426">
        <f t="shared" si="17"/>
        <v>2894.22974327941</v>
      </c>
      <c r="G71" s="437">
        <f t="shared" si="15"/>
        <v>2894.22974327941</v>
      </c>
    </row>
    <row r="72" ht="20" customHeight="1" spans="1:7">
      <c r="A72" s="107"/>
      <c r="B72" s="11" t="s">
        <v>195</v>
      </c>
      <c r="C72" s="7" t="s">
        <v>169</v>
      </c>
      <c r="D72" s="458">
        <v>70.182</v>
      </c>
      <c r="E72" s="425">
        <f>单价汇总表!D39/100</f>
        <v>339.924364001393</v>
      </c>
      <c r="F72" s="426">
        <f t="shared" si="17"/>
        <v>23856.5717143458</v>
      </c>
      <c r="G72" s="437">
        <f t="shared" si="15"/>
        <v>23856.5717143458</v>
      </c>
    </row>
    <row r="73" ht="20" customHeight="1" spans="1:7">
      <c r="A73" s="107"/>
      <c r="B73" s="11" t="s">
        <v>213</v>
      </c>
      <c r="C73" s="7" t="s">
        <v>169</v>
      </c>
      <c r="D73" s="458">
        <v>91.35</v>
      </c>
      <c r="E73" s="425">
        <f>单价汇总表!D42/100</f>
        <v>334.4306984649</v>
      </c>
      <c r="F73" s="426">
        <f t="shared" si="17"/>
        <v>30550.2443047686</v>
      </c>
      <c r="G73" s="437">
        <f t="shared" si="15"/>
        <v>30550.2443047686</v>
      </c>
    </row>
    <row r="74" ht="20" customHeight="1" spans="1:7">
      <c r="A74" s="107"/>
      <c r="B74" s="11" t="s">
        <v>197</v>
      </c>
      <c r="C74" s="7" t="s">
        <v>169</v>
      </c>
      <c r="D74" s="458">
        <v>15.435</v>
      </c>
      <c r="E74" s="425">
        <f t="shared" si="16"/>
        <v>648.095065697824</v>
      </c>
      <c r="F74" s="426">
        <f t="shared" si="17"/>
        <v>10003.3473390459</v>
      </c>
      <c r="G74" s="437">
        <f t="shared" si="15"/>
        <v>10003.3473390459</v>
      </c>
    </row>
    <row r="75" ht="20" customHeight="1" spans="1:7">
      <c r="A75" s="107"/>
      <c r="B75" s="11" t="s">
        <v>220</v>
      </c>
      <c r="C75" s="7" t="s">
        <v>169</v>
      </c>
      <c r="D75" s="458">
        <v>2.7783</v>
      </c>
      <c r="E75" s="425">
        <f>单价汇总表!D108/100</f>
        <v>571.952151590819</v>
      </c>
      <c r="F75" s="426">
        <f t="shared" si="17"/>
        <v>1589.05466276477</v>
      </c>
      <c r="G75" s="437">
        <f t="shared" si="15"/>
        <v>1589.05466276477</v>
      </c>
    </row>
    <row r="76" ht="20" customHeight="1" spans="1:7">
      <c r="A76" s="107"/>
      <c r="B76" s="11" t="s">
        <v>199</v>
      </c>
      <c r="C76" s="459" t="s">
        <v>200</v>
      </c>
      <c r="D76" s="458">
        <v>0.335325375</v>
      </c>
      <c r="E76" s="425">
        <f>E65</f>
        <v>6774.28452813344</v>
      </c>
      <c r="F76" s="426">
        <f t="shared" si="17"/>
        <v>2271.58949975304</v>
      </c>
      <c r="G76" s="437">
        <f t="shared" si="15"/>
        <v>2271.58949975304</v>
      </c>
    </row>
    <row r="77" ht="20" customHeight="1" spans="1:7">
      <c r="A77" s="107"/>
      <c r="B77" s="453" t="s">
        <v>204</v>
      </c>
      <c r="C77" s="454" t="s">
        <v>169</v>
      </c>
      <c r="D77" s="443">
        <f>D74+D75</f>
        <v>18.2133</v>
      </c>
      <c r="E77" s="425">
        <f>E66</f>
        <v>25.59447122776</v>
      </c>
      <c r="F77" s="426">
        <f t="shared" si="17"/>
        <v>466.159782812561</v>
      </c>
      <c r="G77" s="437">
        <f t="shared" si="15"/>
        <v>466.159782812561</v>
      </c>
    </row>
    <row r="78" ht="20" customHeight="1" spans="1:7">
      <c r="A78" s="107" t="s">
        <v>627</v>
      </c>
      <c r="B78" s="371" t="s">
        <v>222</v>
      </c>
      <c r="C78" s="107" t="s">
        <v>193</v>
      </c>
      <c r="D78" s="443">
        <v>3</v>
      </c>
      <c r="E78" s="425"/>
      <c r="F78" s="426">
        <f>SUM(F79:F87)</f>
        <v>122775.775201747</v>
      </c>
      <c r="G78" s="437">
        <f t="shared" si="15"/>
        <v>0</v>
      </c>
    </row>
    <row r="79" ht="20" customHeight="1" spans="1:7">
      <c r="A79" s="107"/>
      <c r="B79" s="11" t="s">
        <v>168</v>
      </c>
      <c r="C79" s="7" t="s">
        <v>169</v>
      </c>
      <c r="D79" s="455">
        <v>84.830025</v>
      </c>
      <c r="E79" s="425">
        <f t="shared" ref="E79:E81" si="18">E69</f>
        <v>5.59741698768686</v>
      </c>
      <c r="F79" s="426">
        <f t="shared" ref="F79:F87" si="19">D79*E79</f>
        <v>474.829023000901</v>
      </c>
      <c r="G79" s="437">
        <f t="shared" si="15"/>
        <v>474.829023000901</v>
      </c>
    </row>
    <row r="80" ht="20" customHeight="1" spans="1:7">
      <c r="A80" s="107"/>
      <c r="B80" s="11" t="s">
        <v>170</v>
      </c>
      <c r="C80" s="7" t="s">
        <v>169</v>
      </c>
      <c r="D80" s="455">
        <v>25.667775</v>
      </c>
      <c r="E80" s="425">
        <f t="shared" si="18"/>
        <v>13.9556177229579</v>
      </c>
      <c r="F80" s="426">
        <f t="shared" si="19"/>
        <v>358.209655698896</v>
      </c>
      <c r="G80" s="437">
        <f t="shared" si="15"/>
        <v>358.209655698896</v>
      </c>
    </row>
    <row r="81" ht="20" customHeight="1" spans="1:7">
      <c r="A81" s="107"/>
      <c r="B81" s="11" t="s">
        <v>219</v>
      </c>
      <c r="C81" s="7" t="s">
        <v>169</v>
      </c>
      <c r="D81" s="455">
        <v>118.0368</v>
      </c>
      <c r="E81" s="425">
        <f t="shared" si="18"/>
        <v>39.6035815993351</v>
      </c>
      <c r="F81" s="426">
        <f t="shared" si="19"/>
        <v>4674.6800405244</v>
      </c>
      <c r="G81" s="437">
        <f t="shared" si="15"/>
        <v>4674.6800405244</v>
      </c>
    </row>
    <row r="82" ht="20" customHeight="1" spans="1:7">
      <c r="A82" s="8"/>
      <c r="B82" s="11" t="s">
        <v>223</v>
      </c>
      <c r="C82" s="7" t="s">
        <v>169</v>
      </c>
      <c r="D82" s="455">
        <v>5.8968</v>
      </c>
      <c r="E82" s="425">
        <f>E75</f>
        <v>571.952151590819</v>
      </c>
      <c r="F82" s="426">
        <f t="shared" si="19"/>
        <v>3372.68744750074</v>
      </c>
      <c r="G82" s="437">
        <f t="shared" si="15"/>
        <v>3372.68744750074</v>
      </c>
    </row>
    <row r="83" ht="20" customHeight="1" spans="1:7">
      <c r="A83" s="8"/>
      <c r="B83" s="460" t="s">
        <v>197</v>
      </c>
      <c r="C83" s="7" t="s">
        <v>169</v>
      </c>
      <c r="D83" s="455">
        <v>49.392</v>
      </c>
      <c r="E83" s="425">
        <f>E74</f>
        <v>648.095065697824</v>
      </c>
      <c r="F83" s="426">
        <f t="shared" si="19"/>
        <v>32010.7114849469</v>
      </c>
      <c r="G83" s="437">
        <f t="shared" si="15"/>
        <v>32010.7114849469</v>
      </c>
    </row>
    <row r="84" ht="20" customHeight="1" spans="1:7">
      <c r="A84" s="8"/>
      <c r="B84" s="461" t="s">
        <v>195</v>
      </c>
      <c r="C84" s="7" t="s">
        <v>169</v>
      </c>
      <c r="D84" s="455">
        <v>70.182</v>
      </c>
      <c r="E84" s="425">
        <f>E72</f>
        <v>339.924364001393</v>
      </c>
      <c r="F84" s="426">
        <f t="shared" si="19"/>
        <v>23856.5717143458</v>
      </c>
      <c r="G84" s="437">
        <f t="shared" si="15"/>
        <v>23856.5717143458</v>
      </c>
    </row>
    <row r="85" ht="20" customHeight="1" spans="1:7">
      <c r="A85" s="8"/>
      <c r="B85" s="11" t="s">
        <v>213</v>
      </c>
      <c r="C85" s="7" t="s">
        <v>169</v>
      </c>
      <c r="D85" s="455">
        <v>147.546</v>
      </c>
      <c r="E85" s="425">
        <f>E73</f>
        <v>334.4306984649</v>
      </c>
      <c r="F85" s="426">
        <f t="shared" si="19"/>
        <v>49343.9118357021</v>
      </c>
      <c r="G85" s="437">
        <f t="shared" si="15"/>
        <v>49343.9118357021</v>
      </c>
    </row>
    <row r="86" ht="20" customHeight="1" spans="1:7">
      <c r="A86" s="8"/>
      <c r="B86" s="11" t="s">
        <v>214</v>
      </c>
      <c r="C86" s="7" t="s">
        <v>200</v>
      </c>
      <c r="D86" s="455">
        <v>1.0730412</v>
      </c>
      <c r="E86" s="425">
        <f t="shared" ref="E86:E91" si="20">E76</f>
        <v>6774.28452813344</v>
      </c>
      <c r="F86" s="426">
        <f t="shared" si="19"/>
        <v>7269.08639920974</v>
      </c>
      <c r="G86" s="437">
        <f t="shared" si="15"/>
        <v>7269.08639920974</v>
      </c>
    </row>
    <row r="87" ht="20" customHeight="1" spans="1:7">
      <c r="A87" s="8"/>
      <c r="B87" s="453" t="s">
        <v>204</v>
      </c>
      <c r="C87" s="454" t="s">
        <v>169</v>
      </c>
      <c r="D87" s="443">
        <f>D82+D83</f>
        <v>55.2888</v>
      </c>
      <c r="E87" s="425">
        <f t="shared" si="20"/>
        <v>25.59447122776</v>
      </c>
      <c r="F87" s="426">
        <f t="shared" si="19"/>
        <v>1415.08760081738</v>
      </c>
      <c r="G87" s="437">
        <f t="shared" si="15"/>
        <v>1415.08760081738</v>
      </c>
    </row>
    <row r="88" ht="20" customHeight="1" spans="1:7">
      <c r="A88" s="7" t="s">
        <v>628</v>
      </c>
      <c r="B88" s="444" t="s">
        <v>225</v>
      </c>
      <c r="C88" s="456" t="s">
        <v>193</v>
      </c>
      <c r="D88" s="462">
        <v>7</v>
      </c>
      <c r="E88" s="425"/>
      <c r="F88" s="426">
        <f>SUM(F89:F94)</f>
        <v>71110.9526745479</v>
      </c>
      <c r="G88" s="437">
        <f t="shared" si="15"/>
        <v>0</v>
      </c>
    </row>
    <row r="89" ht="20" customHeight="1" spans="1:7">
      <c r="A89" s="8"/>
      <c r="B89" s="11" t="s">
        <v>168</v>
      </c>
      <c r="C89" s="7" t="s">
        <v>169</v>
      </c>
      <c r="D89" s="443">
        <f>379.31/23*D88</f>
        <v>115.442173913043</v>
      </c>
      <c r="E89" s="425">
        <f t="shared" si="20"/>
        <v>5.59741698768686</v>
      </c>
      <c r="F89" s="426">
        <f t="shared" ref="F89:F94" si="21">D89*E89</f>
        <v>646.177985356371</v>
      </c>
      <c r="G89" s="437">
        <f t="shared" si="15"/>
        <v>646.177985356371</v>
      </c>
    </row>
    <row r="90" ht="20" customHeight="1" spans="1:7">
      <c r="A90" s="8"/>
      <c r="B90" s="11" t="s">
        <v>170</v>
      </c>
      <c r="C90" s="7" t="s">
        <v>169</v>
      </c>
      <c r="D90" s="443">
        <f>211.19/23*D88</f>
        <v>64.2752173913044</v>
      </c>
      <c r="E90" s="425">
        <f t="shared" si="20"/>
        <v>13.9556177229579</v>
      </c>
      <c r="F90" s="426">
        <f t="shared" si="21"/>
        <v>897.000362973059</v>
      </c>
      <c r="G90" s="437">
        <f t="shared" si="15"/>
        <v>897.000362973059</v>
      </c>
    </row>
    <row r="91" ht="20" customHeight="1" spans="1:7">
      <c r="A91" s="8"/>
      <c r="B91" s="11" t="s">
        <v>219</v>
      </c>
      <c r="C91" s="7" t="s">
        <v>169</v>
      </c>
      <c r="D91" s="443">
        <f>216.38/23*D88</f>
        <v>65.8547826086957</v>
      </c>
      <c r="E91" s="425">
        <f t="shared" si="20"/>
        <v>39.6035815993351</v>
      </c>
      <c r="F91" s="426">
        <f t="shared" si="21"/>
        <v>2608.08525674995</v>
      </c>
      <c r="G91" s="437">
        <f t="shared" si="15"/>
        <v>2608.08525674995</v>
      </c>
    </row>
    <row r="92" ht="20" customHeight="1" spans="1:7">
      <c r="A92" s="8"/>
      <c r="B92" s="11" t="s">
        <v>226</v>
      </c>
      <c r="C92" s="7" t="s">
        <v>169</v>
      </c>
      <c r="D92" s="443">
        <f>336.23/23*D88</f>
        <v>102.330869565217</v>
      </c>
      <c r="E92" s="425">
        <f>E85</f>
        <v>334.4306984649</v>
      </c>
      <c r="F92" s="426">
        <f t="shared" si="21"/>
        <v>34222.5841832162</v>
      </c>
      <c r="G92" s="437">
        <f t="shared" si="15"/>
        <v>34222.5841832162</v>
      </c>
    </row>
    <row r="93" ht="20" customHeight="1" spans="1:7">
      <c r="A93" s="8"/>
      <c r="B93" s="11" t="s">
        <v>227</v>
      </c>
      <c r="C93" s="7" t="s">
        <v>169</v>
      </c>
      <c r="D93" s="443">
        <f>135.24/23*D88</f>
        <v>41.16</v>
      </c>
      <c r="E93" s="425">
        <f>E83</f>
        <v>648.095065697824</v>
      </c>
      <c r="F93" s="426">
        <f t="shared" si="21"/>
        <v>26675.5929041224</v>
      </c>
      <c r="G93" s="437">
        <f t="shared" si="15"/>
        <v>26675.5929041224</v>
      </c>
    </row>
    <row r="94" ht="20" customHeight="1" spans="1:7">
      <c r="A94" s="8"/>
      <c r="B94" s="11" t="s">
        <v>199</v>
      </c>
      <c r="C94" s="459" t="s">
        <v>200</v>
      </c>
      <c r="D94" s="443">
        <f>2.94/23*D88</f>
        <v>0.894782608695652</v>
      </c>
      <c r="E94" s="425">
        <f>E86</f>
        <v>6774.28452813344</v>
      </c>
      <c r="F94" s="426">
        <f t="shared" si="21"/>
        <v>6061.51198212983</v>
      </c>
      <c r="G94" s="437">
        <f t="shared" si="15"/>
        <v>6061.51198212983</v>
      </c>
    </row>
    <row r="95" ht="20" customHeight="1" spans="1:7">
      <c r="A95" s="432" t="s">
        <v>46</v>
      </c>
      <c r="B95" s="433" t="s">
        <v>228</v>
      </c>
      <c r="C95" s="432" t="s">
        <v>229</v>
      </c>
      <c r="D95" s="463">
        <v>6.2</v>
      </c>
      <c r="E95" s="464"/>
      <c r="F95" s="434">
        <f>F96</f>
        <v>402805.318723935</v>
      </c>
      <c r="G95" s="437">
        <f t="shared" si="15"/>
        <v>0</v>
      </c>
    </row>
    <row r="96" ht="20" customHeight="1" spans="1:7">
      <c r="A96" s="107"/>
      <c r="B96" s="371" t="s">
        <v>230</v>
      </c>
      <c r="C96" s="107" t="s">
        <v>169</v>
      </c>
      <c r="D96" s="443">
        <v>15164.28</v>
      </c>
      <c r="E96" s="425">
        <f>新定额单价!$F$339/100+0.77*1.55*5*1.09</f>
        <v>26.5627724312618</v>
      </c>
      <c r="F96" s="426">
        <f t="shared" ref="F96:F101" si="22">D96*E96</f>
        <v>402805.318723935</v>
      </c>
      <c r="G96" s="437">
        <f t="shared" si="15"/>
        <v>402805.318723935</v>
      </c>
    </row>
    <row r="97" ht="20" customHeight="1" spans="1:7">
      <c r="A97" s="432" t="s">
        <v>83</v>
      </c>
      <c r="B97" s="433" t="s">
        <v>231</v>
      </c>
      <c r="C97" s="432"/>
      <c r="D97" s="463"/>
      <c r="E97" s="464"/>
      <c r="F97" s="434">
        <f>F98+F106+F110</f>
        <v>2386862.00313545</v>
      </c>
      <c r="G97" s="437">
        <f t="shared" si="15"/>
        <v>0</v>
      </c>
    </row>
    <row r="98" ht="20" customHeight="1" spans="1:7">
      <c r="A98" s="107">
        <v>1</v>
      </c>
      <c r="B98" s="371" t="s">
        <v>232</v>
      </c>
      <c r="C98" s="107"/>
      <c r="D98" s="443"/>
      <c r="E98" s="425"/>
      <c r="F98" s="426">
        <f>F99+F102+F104</f>
        <v>871020.594000442</v>
      </c>
      <c r="G98" s="437">
        <f t="shared" si="15"/>
        <v>0</v>
      </c>
    </row>
    <row r="99" ht="20" customHeight="1" spans="1:7">
      <c r="A99" s="107">
        <v>1.1</v>
      </c>
      <c r="B99" s="371" t="s">
        <v>233</v>
      </c>
      <c r="C99" s="107"/>
      <c r="D99" s="443"/>
      <c r="E99" s="425"/>
      <c r="F99" s="426">
        <f>F100+F101</f>
        <v>229347.980099832</v>
      </c>
      <c r="G99" s="437">
        <f t="shared" si="15"/>
        <v>0</v>
      </c>
    </row>
    <row r="100" ht="20" customHeight="1" spans="1:7">
      <c r="A100" s="107"/>
      <c r="B100" s="371" t="s">
        <v>234</v>
      </c>
      <c r="C100" s="7" t="s">
        <v>169</v>
      </c>
      <c r="D100" s="465">
        <v>16468.2</v>
      </c>
      <c r="E100" s="425">
        <f>单价汇总表!D11/100</f>
        <v>4.34148945589341</v>
      </c>
      <c r="F100" s="426">
        <f t="shared" si="22"/>
        <v>71496.5166575439</v>
      </c>
      <c r="G100" s="437">
        <f t="shared" si="15"/>
        <v>71496.5166575439</v>
      </c>
    </row>
    <row r="101" ht="20" customHeight="1" spans="1:7">
      <c r="A101" s="107"/>
      <c r="B101" s="371" t="s">
        <v>235</v>
      </c>
      <c r="C101" s="7" t="s">
        <v>169</v>
      </c>
      <c r="D101" s="465">
        <v>5489.4</v>
      </c>
      <c r="E101" s="425">
        <f>新定额单价!F60/100+单价汇总表!D25/100+(10-5)*1.55*0.77*1.09</f>
        <v>28.7556861300485</v>
      </c>
      <c r="F101" s="426">
        <f t="shared" si="22"/>
        <v>157851.463442288</v>
      </c>
      <c r="G101" s="437">
        <f t="shared" si="15"/>
        <v>157851.463442288</v>
      </c>
    </row>
    <row r="102" ht="20" customHeight="1" spans="1:7">
      <c r="A102" s="107">
        <v>1.2</v>
      </c>
      <c r="B102" s="371" t="s">
        <v>236</v>
      </c>
      <c r="C102" s="7"/>
      <c r="D102" s="465"/>
      <c r="E102" s="425"/>
      <c r="F102" s="426">
        <f>SUM(F103:F103)</f>
        <v>125337.736354233</v>
      </c>
      <c r="G102" s="437">
        <f t="shared" si="15"/>
        <v>0</v>
      </c>
    </row>
    <row r="103" ht="20" customHeight="1" spans="1:7">
      <c r="A103" s="107"/>
      <c r="B103" s="371" t="s">
        <v>237</v>
      </c>
      <c r="C103" s="7" t="s">
        <v>175</v>
      </c>
      <c r="D103" s="465">
        <v>54894</v>
      </c>
      <c r="E103" s="425">
        <f>新定额单价!F5432/100</f>
        <v>2.28326841465795</v>
      </c>
      <c r="F103" s="426">
        <f t="shared" ref="F103:F109" si="23">D103*E103</f>
        <v>125337.736354233</v>
      </c>
      <c r="G103" s="437">
        <f t="shared" si="15"/>
        <v>125337.736354233</v>
      </c>
    </row>
    <row r="104" ht="20" customHeight="1" spans="1:7">
      <c r="A104" s="107">
        <v>1.3</v>
      </c>
      <c r="B104" s="371" t="s">
        <v>238</v>
      </c>
      <c r="C104" s="7"/>
      <c r="D104" s="465"/>
      <c r="E104" s="425"/>
      <c r="F104" s="426">
        <f>F105</f>
        <v>516334.877546377</v>
      </c>
      <c r="G104" s="437">
        <f t="shared" si="15"/>
        <v>0</v>
      </c>
    </row>
    <row r="105" ht="20" customHeight="1" spans="1:7">
      <c r="A105" s="107"/>
      <c r="B105" s="371" t="s">
        <v>239</v>
      </c>
      <c r="C105" s="7" t="s">
        <v>175</v>
      </c>
      <c r="D105" s="465">
        <v>54894</v>
      </c>
      <c r="E105" s="425">
        <f>单价汇总表!$D$187</f>
        <v>9.40603485893498</v>
      </c>
      <c r="F105" s="426">
        <f t="shared" si="23"/>
        <v>516334.877546377</v>
      </c>
      <c r="G105" s="437">
        <f t="shared" si="15"/>
        <v>516334.877546377</v>
      </c>
    </row>
    <row r="106" ht="20" customHeight="1" spans="1:7">
      <c r="A106" s="107">
        <v>2</v>
      </c>
      <c r="B106" s="371" t="s">
        <v>240</v>
      </c>
      <c r="C106" s="7"/>
      <c r="D106" s="465"/>
      <c r="E106" s="425"/>
      <c r="F106" s="426">
        <f>SUM(F107:F109)</f>
        <v>1129252.72973422</v>
      </c>
      <c r="G106" s="437">
        <f t="shared" si="15"/>
        <v>0</v>
      </c>
    </row>
    <row r="107" ht="20" customHeight="1" spans="1:7">
      <c r="A107" s="107"/>
      <c r="B107" s="371" t="s">
        <v>235</v>
      </c>
      <c r="C107" s="7" t="s">
        <v>169</v>
      </c>
      <c r="D107" s="465">
        <v>8193.15</v>
      </c>
      <c r="E107" s="425">
        <f>E101</f>
        <v>28.7556861300485</v>
      </c>
      <c r="F107" s="426">
        <f t="shared" si="23"/>
        <v>235599.649816407</v>
      </c>
      <c r="G107" s="437">
        <f t="shared" si="15"/>
        <v>235599.649816407</v>
      </c>
    </row>
    <row r="108" ht="20" customHeight="1" spans="1:7">
      <c r="A108" s="107"/>
      <c r="B108" s="466" t="s">
        <v>241</v>
      </c>
      <c r="C108" s="7" t="s">
        <v>175</v>
      </c>
      <c r="D108" s="465">
        <v>76450.5</v>
      </c>
      <c r="E108" s="425">
        <f>E103</f>
        <v>2.28326841465795</v>
      </c>
      <c r="F108" s="426">
        <f t="shared" si="23"/>
        <v>174557.011934808</v>
      </c>
      <c r="G108" s="437">
        <f t="shared" si="15"/>
        <v>174557.011934808</v>
      </c>
    </row>
    <row r="109" ht="20" customHeight="1" spans="1:7">
      <c r="A109" s="107"/>
      <c r="B109" s="371" t="s">
        <v>242</v>
      </c>
      <c r="C109" s="7" t="s">
        <v>175</v>
      </c>
      <c r="D109" s="465">
        <v>76450.5</v>
      </c>
      <c r="E109" s="425">
        <f>E105</f>
        <v>9.40603485893498</v>
      </c>
      <c r="F109" s="426">
        <f t="shared" si="23"/>
        <v>719096.067983009</v>
      </c>
      <c r="G109" s="437">
        <f t="shared" si="15"/>
        <v>719096.067983009</v>
      </c>
    </row>
    <row r="110" ht="20" customHeight="1" spans="1:7">
      <c r="A110" s="107">
        <v>3</v>
      </c>
      <c r="B110" s="371" t="s">
        <v>243</v>
      </c>
      <c r="C110" s="7"/>
      <c r="D110" s="465"/>
      <c r="E110" s="425"/>
      <c r="F110" s="426">
        <f>F112+F113+F111</f>
        <v>386588.679400793</v>
      </c>
      <c r="G110" s="437">
        <f t="shared" si="15"/>
        <v>0</v>
      </c>
    </row>
    <row r="111" ht="20" customHeight="1" spans="1:7">
      <c r="A111" s="107"/>
      <c r="B111" s="371" t="s">
        <v>235</v>
      </c>
      <c r="C111" s="7" t="s">
        <v>169</v>
      </c>
      <c r="D111" s="465">
        <v>1389.465</v>
      </c>
      <c r="E111" s="425">
        <f>E107</f>
        <v>28.7556861300485</v>
      </c>
      <c r="F111" s="426">
        <f t="shared" ref="F111:F113" si="24">D111*E111</f>
        <v>39955.0194286878</v>
      </c>
      <c r="G111" s="437">
        <f t="shared" si="15"/>
        <v>39955.0194286878</v>
      </c>
    </row>
    <row r="112" ht="20" customHeight="1" spans="1:7">
      <c r="A112" s="107"/>
      <c r="B112" s="466" t="s">
        <v>244</v>
      </c>
      <c r="C112" s="7" t="s">
        <v>175</v>
      </c>
      <c r="D112" s="465">
        <v>12631.5</v>
      </c>
      <c r="E112" s="425">
        <f>新定额单价!L5432/100</f>
        <v>18.0359680680416</v>
      </c>
      <c r="F112" s="426">
        <f t="shared" si="24"/>
        <v>227821.330651467</v>
      </c>
      <c r="G112" s="437">
        <f t="shared" si="15"/>
        <v>227821.330651467</v>
      </c>
    </row>
    <row r="113" ht="20" customHeight="1" spans="1:7">
      <c r="A113" s="107"/>
      <c r="B113" s="371" t="s">
        <v>245</v>
      </c>
      <c r="C113" s="7" t="s">
        <v>175</v>
      </c>
      <c r="D113" s="465">
        <v>12631.5</v>
      </c>
      <c r="E113" s="425">
        <f>单价汇总表!$D$187</f>
        <v>9.40603485893498</v>
      </c>
      <c r="F113" s="426">
        <f t="shared" si="24"/>
        <v>118812.329320637</v>
      </c>
      <c r="G113" s="437">
        <f t="shared" si="15"/>
        <v>118812.329320637</v>
      </c>
    </row>
    <row r="114" ht="20" customHeight="1" spans="1:7">
      <c r="A114" s="432" t="s">
        <v>121</v>
      </c>
      <c r="B114" s="433" t="s">
        <v>246</v>
      </c>
      <c r="C114" s="7"/>
      <c r="D114" s="467"/>
      <c r="E114" s="425"/>
      <c r="F114" s="434">
        <f>F115+F150</f>
        <v>1563262.36430547</v>
      </c>
      <c r="G114" s="437">
        <f t="shared" si="15"/>
        <v>0</v>
      </c>
    </row>
    <row r="115" ht="20" customHeight="1" spans="1:7">
      <c r="A115" s="468">
        <v>1</v>
      </c>
      <c r="B115" s="418" t="s">
        <v>247</v>
      </c>
      <c r="C115" s="468" t="s">
        <v>248</v>
      </c>
      <c r="D115" s="443"/>
      <c r="E115" s="425"/>
      <c r="F115" s="434">
        <f>F116</f>
        <v>312599.173181923</v>
      </c>
      <c r="G115" s="437">
        <f t="shared" si="15"/>
        <v>0</v>
      </c>
    </row>
    <row r="116" ht="20" customHeight="1" spans="1:7">
      <c r="A116" s="5">
        <v>1.1</v>
      </c>
      <c r="B116" s="391" t="s">
        <v>318</v>
      </c>
      <c r="C116" s="378"/>
      <c r="D116" s="425"/>
      <c r="E116" s="425"/>
      <c r="F116" s="434">
        <f>F117+F128+F142</f>
        <v>312599.173181923</v>
      </c>
      <c r="G116" s="437">
        <f t="shared" ref="G116:G123" si="25">D116*E116</f>
        <v>0</v>
      </c>
    </row>
    <row r="117" ht="20" customHeight="1" spans="1:7">
      <c r="A117" s="378" t="s">
        <v>250</v>
      </c>
      <c r="B117" s="11" t="s">
        <v>278</v>
      </c>
      <c r="C117" s="7" t="s">
        <v>193</v>
      </c>
      <c r="D117" s="469">
        <v>1</v>
      </c>
      <c r="E117" s="425"/>
      <c r="F117" s="426">
        <f>SUM(F118:F127)</f>
        <v>195410.702075492</v>
      </c>
      <c r="G117" s="437">
        <f t="shared" si="25"/>
        <v>0</v>
      </c>
    </row>
    <row r="118" ht="20" customHeight="1" spans="1:7">
      <c r="A118" s="378"/>
      <c r="B118" s="470" t="s">
        <v>279</v>
      </c>
      <c r="C118" s="471" t="s">
        <v>169</v>
      </c>
      <c r="D118" s="425">
        <v>184.88</v>
      </c>
      <c r="E118" s="425">
        <f>建筑概算核!H235</f>
        <v>9.15967136570967</v>
      </c>
      <c r="F118" s="426">
        <f t="shared" ref="F118:F128" si="26">D118*E118</f>
        <v>1693.4400420924</v>
      </c>
      <c r="G118" s="437">
        <f t="shared" si="25"/>
        <v>1693.4400420924</v>
      </c>
    </row>
    <row r="119" ht="20" customHeight="1" spans="1:7">
      <c r="A119" s="378"/>
      <c r="B119" s="406" t="s">
        <v>280</v>
      </c>
      <c r="C119" s="7" t="s">
        <v>169</v>
      </c>
      <c r="D119" s="425">
        <v>396.45</v>
      </c>
      <c r="E119" s="425">
        <f>建筑概算核!H236</f>
        <v>5.59741698768686</v>
      </c>
      <c r="F119" s="426">
        <f t="shared" si="26"/>
        <v>2219.09596476846</v>
      </c>
      <c r="G119" s="437">
        <f t="shared" si="25"/>
        <v>2219.09596476846</v>
      </c>
    </row>
    <row r="120" ht="20" customHeight="1" spans="1:7">
      <c r="A120" s="378"/>
      <c r="B120" s="406" t="s">
        <v>281</v>
      </c>
      <c r="C120" s="7" t="s">
        <v>169</v>
      </c>
      <c r="D120" s="425">
        <v>312.36</v>
      </c>
      <c r="E120" s="425">
        <f>建筑概算核!H237</f>
        <v>13.9556177229579</v>
      </c>
      <c r="F120" s="426">
        <f t="shared" si="26"/>
        <v>4359.17675194313</v>
      </c>
      <c r="G120" s="437">
        <f t="shared" si="25"/>
        <v>4359.17675194313</v>
      </c>
    </row>
    <row r="121" ht="20" customHeight="1" spans="1:7">
      <c r="A121" s="378"/>
      <c r="B121" s="472" t="s">
        <v>282</v>
      </c>
      <c r="C121" s="7" t="s">
        <v>169</v>
      </c>
      <c r="D121" s="425">
        <v>19</v>
      </c>
      <c r="E121" s="425">
        <f>建筑概算核!H238</f>
        <v>583.257794671639</v>
      </c>
      <c r="F121" s="426">
        <f t="shared" si="26"/>
        <v>11081.8980987611</v>
      </c>
      <c r="G121" s="437">
        <f t="shared" si="25"/>
        <v>11081.8980987611</v>
      </c>
    </row>
    <row r="122" ht="20" customHeight="1" spans="1:7">
      <c r="A122" s="378"/>
      <c r="B122" s="472" t="s">
        <v>283</v>
      </c>
      <c r="C122" s="7" t="s">
        <v>169</v>
      </c>
      <c r="D122" s="425">
        <v>51.05</v>
      </c>
      <c r="E122" s="425">
        <f>建筑概算核!H239</f>
        <v>217.66</v>
      </c>
      <c r="F122" s="426">
        <f t="shared" si="26"/>
        <v>11111.543</v>
      </c>
      <c r="G122" s="437">
        <f t="shared" si="25"/>
        <v>11111.543</v>
      </c>
    </row>
    <row r="123" ht="20" customHeight="1" spans="1:7">
      <c r="A123" s="378"/>
      <c r="B123" s="472" t="s">
        <v>285</v>
      </c>
      <c r="C123" s="7" t="s">
        <v>169</v>
      </c>
      <c r="D123" s="425">
        <v>67.35</v>
      </c>
      <c r="E123" s="425">
        <f>建筑概算核!H240</f>
        <v>12.9724899040303</v>
      </c>
      <c r="F123" s="426">
        <f t="shared" si="26"/>
        <v>873.697195036441</v>
      </c>
      <c r="G123" s="437">
        <f t="shared" si="25"/>
        <v>873.697195036441</v>
      </c>
    </row>
    <row r="124" ht="20" customHeight="1" spans="1:7">
      <c r="A124" s="378"/>
      <c r="B124" s="473" t="s">
        <v>287</v>
      </c>
      <c r="C124" s="474" t="s">
        <v>169</v>
      </c>
      <c r="D124" s="425">
        <v>0.22</v>
      </c>
      <c r="E124" s="425">
        <f>建筑概算核!H242</f>
        <v>574.648992970568</v>
      </c>
      <c r="F124" s="426">
        <f t="shared" si="26"/>
        <v>126.422778453525</v>
      </c>
      <c r="G124" s="437">
        <f t="shared" ref="G124:G139" si="27">D124*E124</f>
        <v>126.422778453525</v>
      </c>
    </row>
    <row r="125" ht="20" customHeight="1" spans="1:7">
      <c r="A125" s="378"/>
      <c r="B125" s="473" t="s">
        <v>288</v>
      </c>
      <c r="C125" s="474" t="s">
        <v>169</v>
      </c>
      <c r="D125" s="425">
        <v>12.67</v>
      </c>
      <c r="E125" s="425">
        <f>建筑概算核!H243</f>
        <v>500.913286409664</v>
      </c>
      <c r="F125" s="426">
        <f t="shared" si="26"/>
        <v>6346.57133881044</v>
      </c>
      <c r="G125" s="437">
        <f t="shared" si="27"/>
        <v>6346.57133881044</v>
      </c>
    </row>
    <row r="126" ht="20" customHeight="1" spans="1:7">
      <c r="A126" s="378"/>
      <c r="B126" s="473" t="s">
        <v>214</v>
      </c>
      <c r="C126" s="474" t="s">
        <v>200</v>
      </c>
      <c r="D126" s="425">
        <v>0.2</v>
      </c>
      <c r="E126" s="425">
        <f>建筑概算核!H244</f>
        <v>6774.28452813344</v>
      </c>
      <c r="F126" s="426">
        <f t="shared" si="26"/>
        <v>1354.85690562669</v>
      </c>
      <c r="G126" s="437">
        <f t="shared" si="27"/>
        <v>1354.85690562669</v>
      </c>
    </row>
    <row r="127" ht="20" customHeight="1" spans="1:7">
      <c r="A127" s="378"/>
      <c r="B127" s="11" t="s">
        <v>289</v>
      </c>
      <c r="C127" s="471" t="s">
        <v>175</v>
      </c>
      <c r="D127" s="425">
        <v>71.02</v>
      </c>
      <c r="E127" s="425">
        <f>建筑概算核!H245</f>
        <v>2200</v>
      </c>
      <c r="F127" s="426">
        <f t="shared" si="26"/>
        <v>156244</v>
      </c>
      <c r="G127" s="437">
        <f t="shared" si="27"/>
        <v>156244</v>
      </c>
    </row>
    <row r="128" ht="20" customHeight="1" spans="1:7">
      <c r="A128" s="7" t="s">
        <v>257</v>
      </c>
      <c r="B128" s="475" t="s">
        <v>290</v>
      </c>
      <c r="C128" s="476"/>
      <c r="D128" s="425"/>
      <c r="E128" s="425"/>
      <c r="F128" s="426">
        <f>SUM(F129:F141)</f>
        <v>115046.19516263</v>
      </c>
      <c r="G128" s="437">
        <f t="shared" si="27"/>
        <v>0</v>
      </c>
    </row>
    <row r="129" ht="20" customHeight="1" spans="1:7">
      <c r="A129" s="7"/>
      <c r="B129" s="406" t="s">
        <v>291</v>
      </c>
      <c r="C129" s="7" t="s">
        <v>169</v>
      </c>
      <c r="D129" s="425">
        <v>309.402624</v>
      </c>
      <c r="E129" s="425">
        <f>建筑概算核!H319</f>
        <v>5.59741698768686</v>
      </c>
      <c r="F129" s="426">
        <f t="shared" ref="F129:F141" si="28">D129*E129</f>
        <v>1731.85550361249</v>
      </c>
      <c r="G129" s="437">
        <f t="shared" si="27"/>
        <v>1731.85550361249</v>
      </c>
    </row>
    <row r="130" ht="20" customHeight="1" spans="1:7">
      <c r="A130" s="7"/>
      <c r="B130" s="406" t="s">
        <v>292</v>
      </c>
      <c r="C130" s="7" t="s">
        <v>169</v>
      </c>
      <c r="D130" s="425">
        <v>100.0224</v>
      </c>
      <c r="E130" s="425">
        <f>建筑概算核!H320</f>
        <v>13.9556177229579</v>
      </c>
      <c r="F130" s="426">
        <f t="shared" si="28"/>
        <v>1395.87437813278</v>
      </c>
      <c r="G130" s="437">
        <f t="shared" si="27"/>
        <v>1395.87437813278</v>
      </c>
    </row>
    <row r="131" ht="20" customHeight="1" spans="1:7">
      <c r="A131" s="7"/>
      <c r="B131" s="406" t="s">
        <v>293</v>
      </c>
      <c r="C131" s="7" t="s">
        <v>169</v>
      </c>
      <c r="D131" s="425">
        <v>57.1642</v>
      </c>
      <c r="E131" s="425">
        <f>建筑概算核!H321</f>
        <v>977.945649219147</v>
      </c>
      <c r="F131" s="426">
        <f t="shared" si="28"/>
        <v>55903.4806810932</v>
      </c>
      <c r="G131" s="437">
        <f t="shared" si="27"/>
        <v>55903.4806810932</v>
      </c>
    </row>
    <row r="132" ht="20" customHeight="1" spans="1:7">
      <c r="A132" s="7"/>
      <c r="B132" s="406" t="s">
        <v>294</v>
      </c>
      <c r="C132" s="7" t="s">
        <v>169</v>
      </c>
      <c r="D132" s="425">
        <v>15.71556</v>
      </c>
      <c r="E132" s="425">
        <f>建筑概算核!H322</f>
        <v>583.06661449156</v>
      </c>
      <c r="F132" s="426">
        <f t="shared" si="28"/>
        <v>9163.21836403898</v>
      </c>
      <c r="G132" s="437">
        <f t="shared" si="27"/>
        <v>9163.21836403898</v>
      </c>
    </row>
    <row r="133" ht="20" customHeight="1" spans="1:7">
      <c r="A133" s="7"/>
      <c r="B133" s="406" t="s">
        <v>295</v>
      </c>
      <c r="C133" s="7" t="s">
        <v>169</v>
      </c>
      <c r="D133" s="425">
        <v>0.968</v>
      </c>
      <c r="E133" s="425">
        <f>建筑概算核!H323</f>
        <v>574.648992970568</v>
      </c>
      <c r="F133" s="426">
        <f t="shared" si="28"/>
        <v>556.26022519551</v>
      </c>
      <c r="G133" s="437">
        <f t="shared" si="27"/>
        <v>556.26022519551</v>
      </c>
    </row>
    <row r="134" ht="20" customHeight="1" spans="1:7">
      <c r="A134" s="7"/>
      <c r="B134" s="406" t="s">
        <v>296</v>
      </c>
      <c r="C134" s="7" t="s">
        <v>169</v>
      </c>
      <c r="D134" s="425">
        <v>1</v>
      </c>
      <c r="E134" s="425">
        <f>建筑概算核!H324</f>
        <v>608.128267909413</v>
      </c>
      <c r="F134" s="426">
        <f t="shared" si="28"/>
        <v>608.128267909413</v>
      </c>
      <c r="G134" s="437">
        <f t="shared" si="27"/>
        <v>608.128267909413</v>
      </c>
    </row>
    <row r="135" ht="20" customHeight="1" spans="1:7">
      <c r="A135" s="7"/>
      <c r="B135" s="406" t="s">
        <v>297</v>
      </c>
      <c r="C135" s="7" t="s">
        <v>169</v>
      </c>
      <c r="D135" s="425">
        <v>2.24508</v>
      </c>
      <c r="E135" s="425">
        <f>建筑概算核!H325</f>
        <v>500.913286409664</v>
      </c>
      <c r="F135" s="426">
        <f t="shared" si="28"/>
        <v>1124.59040105261</v>
      </c>
      <c r="G135" s="437">
        <f t="shared" si="27"/>
        <v>1124.59040105261</v>
      </c>
    </row>
    <row r="136" ht="20" customHeight="1" spans="1:7">
      <c r="A136" s="7"/>
      <c r="B136" s="406" t="s">
        <v>298</v>
      </c>
      <c r="C136" s="7" t="s">
        <v>169</v>
      </c>
      <c r="D136" s="425">
        <v>0.484</v>
      </c>
      <c r="E136" s="425">
        <f>建筑概算核!H326</f>
        <v>583.06661449156</v>
      </c>
      <c r="F136" s="426">
        <f t="shared" si="28"/>
        <v>282.204241413915</v>
      </c>
      <c r="G136" s="437">
        <f t="shared" si="27"/>
        <v>282.204241413915</v>
      </c>
    </row>
    <row r="137" ht="20" customHeight="1" spans="1:7">
      <c r="A137" s="7"/>
      <c r="B137" s="406" t="s">
        <v>214</v>
      </c>
      <c r="C137" s="7" t="s">
        <v>200</v>
      </c>
      <c r="D137" s="425">
        <v>0.74367513472</v>
      </c>
      <c r="E137" s="425">
        <f>建筑概算核!H327</f>
        <v>6774.28452813344</v>
      </c>
      <c r="F137" s="426">
        <f t="shared" si="28"/>
        <v>5037.86695909125</v>
      </c>
      <c r="G137" s="437">
        <f t="shared" si="27"/>
        <v>5037.86695909125</v>
      </c>
    </row>
    <row r="138" ht="20" customHeight="1" spans="1:7">
      <c r="A138" s="7"/>
      <c r="B138" s="406" t="s">
        <v>299</v>
      </c>
      <c r="C138" s="7" t="s">
        <v>200</v>
      </c>
      <c r="D138" s="425">
        <v>1.35</v>
      </c>
      <c r="E138" s="425">
        <f>建筑概算核!H328</f>
        <v>7112.99875454011</v>
      </c>
      <c r="F138" s="426">
        <f t="shared" si="28"/>
        <v>9602.54831862915</v>
      </c>
      <c r="G138" s="437">
        <f t="shared" si="27"/>
        <v>9602.54831862915</v>
      </c>
    </row>
    <row r="139" ht="20" customHeight="1" spans="1:7">
      <c r="A139" s="7"/>
      <c r="B139" s="406" t="s">
        <v>300</v>
      </c>
      <c r="C139" s="7" t="s">
        <v>200</v>
      </c>
      <c r="D139" s="425">
        <v>1.56</v>
      </c>
      <c r="E139" s="425">
        <f>建筑概算核!H329</f>
        <v>7112.99875454011</v>
      </c>
      <c r="F139" s="426">
        <f t="shared" si="28"/>
        <v>11096.2780570826</v>
      </c>
      <c r="G139" s="437">
        <f t="shared" si="27"/>
        <v>11096.2780570826</v>
      </c>
    </row>
    <row r="140" ht="20" customHeight="1" spans="1:7">
      <c r="A140" s="7"/>
      <c r="B140" s="406" t="s">
        <v>301</v>
      </c>
      <c r="C140" s="7" t="s">
        <v>169</v>
      </c>
      <c r="D140" s="425">
        <v>0.72</v>
      </c>
      <c r="E140" s="425">
        <f>建筑概算核!H330</f>
        <v>24000</v>
      </c>
      <c r="F140" s="426">
        <f t="shared" si="28"/>
        <v>17280</v>
      </c>
      <c r="G140" s="437">
        <f t="shared" ref="G140:G199" si="29">D140*E140</f>
        <v>17280</v>
      </c>
    </row>
    <row r="141" ht="20" customHeight="1" spans="1:7">
      <c r="A141" s="7"/>
      <c r="B141" s="406" t="s">
        <v>302</v>
      </c>
      <c r="C141" s="7" t="s">
        <v>175</v>
      </c>
      <c r="D141" s="425">
        <v>5.8</v>
      </c>
      <c r="E141" s="425">
        <f>建筑概算核!H331</f>
        <v>217.912028513414</v>
      </c>
      <c r="F141" s="426">
        <f t="shared" si="28"/>
        <v>1263.8897653778</v>
      </c>
      <c r="G141" s="437">
        <f t="shared" si="29"/>
        <v>1263.8897653778</v>
      </c>
    </row>
    <row r="142" ht="20" customHeight="1" spans="1:7">
      <c r="A142" s="378" t="s">
        <v>270</v>
      </c>
      <c r="B142" s="477" t="s">
        <v>303</v>
      </c>
      <c r="C142" s="478" t="s">
        <v>193</v>
      </c>
      <c r="D142" s="425">
        <v>1</v>
      </c>
      <c r="E142" s="425"/>
      <c r="F142" s="426">
        <f>SUM(F143:F149)</f>
        <v>2142.27594380119</v>
      </c>
      <c r="G142" s="437">
        <f t="shared" si="29"/>
        <v>0</v>
      </c>
    </row>
    <row r="143" ht="20" customHeight="1" spans="1:7">
      <c r="A143" s="378"/>
      <c r="B143" s="406" t="s">
        <v>304</v>
      </c>
      <c r="C143" s="479" t="s">
        <v>305</v>
      </c>
      <c r="D143" s="425">
        <v>1</v>
      </c>
      <c r="E143" s="425">
        <f>建筑概算核!H333</f>
        <v>1000</v>
      </c>
      <c r="F143" s="426">
        <f t="shared" ref="F143:F149" si="30">D143*E143</f>
        <v>1000</v>
      </c>
      <c r="G143" s="437">
        <f t="shared" si="29"/>
        <v>1000</v>
      </c>
    </row>
    <row r="144" ht="20" customHeight="1" spans="1:7">
      <c r="A144" s="378"/>
      <c r="B144" s="11" t="s">
        <v>306</v>
      </c>
      <c r="C144" s="480" t="s">
        <v>307</v>
      </c>
      <c r="D144" s="425">
        <v>0.763337925</v>
      </c>
      <c r="E144" s="425">
        <f>建筑概算核!H334</f>
        <v>573.383274298207</v>
      </c>
      <c r="F144" s="426">
        <f t="shared" si="30"/>
        <v>437.685198832499</v>
      </c>
      <c r="G144" s="437">
        <f t="shared" si="29"/>
        <v>437.685198832499</v>
      </c>
    </row>
    <row r="145" ht="20" customHeight="1" spans="1:7">
      <c r="A145" s="378"/>
      <c r="B145" s="11" t="s">
        <v>308</v>
      </c>
      <c r="C145" s="480" t="s">
        <v>307</v>
      </c>
      <c r="D145" s="425">
        <v>0.1764</v>
      </c>
      <c r="E145" s="425">
        <f>建筑概算核!H335</f>
        <v>647.324646660022</v>
      </c>
      <c r="F145" s="426">
        <f t="shared" si="30"/>
        <v>114.188067670828</v>
      </c>
      <c r="G145" s="437">
        <f t="shared" si="29"/>
        <v>114.188067670828</v>
      </c>
    </row>
    <row r="146" ht="20" customHeight="1" spans="1:7">
      <c r="A146" s="378"/>
      <c r="B146" s="11" t="s">
        <v>309</v>
      </c>
      <c r="C146" s="480" t="s">
        <v>307</v>
      </c>
      <c r="D146" s="425">
        <v>0.1038555</v>
      </c>
      <c r="E146" s="425">
        <f>建筑概算核!H336</f>
        <v>647.324646660022</v>
      </c>
      <c r="F146" s="426">
        <f t="shared" si="30"/>
        <v>67.2282248411999</v>
      </c>
      <c r="G146" s="437">
        <f t="shared" si="29"/>
        <v>67.2282248411999</v>
      </c>
    </row>
    <row r="147" ht="20" customHeight="1" spans="1:7">
      <c r="A147" s="378"/>
      <c r="B147" s="11" t="s">
        <v>310</v>
      </c>
      <c r="C147" s="7" t="s">
        <v>305</v>
      </c>
      <c r="D147" s="425">
        <f>D142</f>
        <v>1</v>
      </c>
      <c r="E147" s="425">
        <f>建筑概算核!H337</f>
        <v>50</v>
      </c>
      <c r="F147" s="426">
        <f t="shared" si="30"/>
        <v>50</v>
      </c>
      <c r="G147" s="437">
        <f t="shared" si="29"/>
        <v>50</v>
      </c>
    </row>
    <row r="148" ht="20" customHeight="1" spans="1:7">
      <c r="A148" s="378"/>
      <c r="B148" s="11" t="s">
        <v>311</v>
      </c>
      <c r="C148" s="481" t="s">
        <v>307</v>
      </c>
      <c r="D148" s="425">
        <v>0.19732545</v>
      </c>
      <c r="E148" s="425">
        <f>建筑概算核!H338</f>
        <v>583.993706543077</v>
      </c>
      <c r="F148" s="426">
        <f t="shared" si="30"/>
        <v>115.236820940781</v>
      </c>
      <c r="G148" s="437">
        <f t="shared" si="29"/>
        <v>115.236820940781</v>
      </c>
    </row>
    <row r="149" ht="20" customHeight="1" spans="1:7">
      <c r="A149" s="378"/>
      <c r="B149" s="482" t="s">
        <v>312</v>
      </c>
      <c r="C149" s="483" t="s">
        <v>175</v>
      </c>
      <c r="D149" s="425">
        <v>19.2132675</v>
      </c>
      <c r="E149" s="425">
        <f>建筑概算核!H339</f>
        <v>18.6297115530134</v>
      </c>
      <c r="F149" s="426">
        <f t="shared" si="30"/>
        <v>357.937631515887</v>
      </c>
      <c r="G149" s="437">
        <f t="shared" si="29"/>
        <v>357.937631515887</v>
      </c>
    </row>
    <row r="150" ht="20" customHeight="1" spans="1:7">
      <c r="A150" s="468">
        <v>2</v>
      </c>
      <c r="B150" s="418" t="s">
        <v>324</v>
      </c>
      <c r="C150" s="468" t="s">
        <v>248</v>
      </c>
      <c r="D150" s="298"/>
      <c r="E150" s="425"/>
      <c r="F150" s="434">
        <f>F151</f>
        <v>1250663.19112355</v>
      </c>
      <c r="G150" s="437">
        <f t="shared" si="29"/>
        <v>0</v>
      </c>
    </row>
    <row r="151" ht="20" customHeight="1" spans="1:7">
      <c r="A151" s="468">
        <v>2.1</v>
      </c>
      <c r="B151" s="418" t="s">
        <v>411</v>
      </c>
      <c r="C151" s="468"/>
      <c r="D151" s="298"/>
      <c r="E151" s="425"/>
      <c r="F151" s="426">
        <f>F152+F166+F182+F197+F203</f>
        <v>1250663.19112355</v>
      </c>
      <c r="G151" s="437">
        <f t="shared" si="29"/>
        <v>0</v>
      </c>
    </row>
    <row r="152" ht="20" customHeight="1" spans="1:7">
      <c r="A152" s="123" t="s">
        <v>326</v>
      </c>
      <c r="B152" s="406" t="s">
        <v>327</v>
      </c>
      <c r="C152" s="468"/>
      <c r="D152" s="298"/>
      <c r="E152" s="425"/>
      <c r="F152" s="426">
        <f>F153+F157+F158+F161+F164</f>
        <v>612911.559</v>
      </c>
      <c r="G152" s="437">
        <f t="shared" si="29"/>
        <v>0</v>
      </c>
    </row>
    <row r="153" ht="20" customHeight="1" spans="1:7">
      <c r="A153" s="123" t="s">
        <v>329</v>
      </c>
      <c r="B153" s="406" t="s">
        <v>330</v>
      </c>
      <c r="C153" s="123" t="s">
        <v>248</v>
      </c>
      <c r="D153" s="298"/>
      <c r="E153" s="425"/>
      <c r="F153" s="426">
        <f>SUM(F154:F156)</f>
        <v>426835.04</v>
      </c>
      <c r="G153" s="437">
        <f t="shared" ref="G153:G205" si="31">D153*E153</f>
        <v>0</v>
      </c>
    </row>
    <row r="154" ht="20" customHeight="1" spans="1:7">
      <c r="A154" s="123" t="s">
        <v>248</v>
      </c>
      <c r="B154" s="406" t="s">
        <v>331</v>
      </c>
      <c r="C154" s="123" t="s">
        <v>167</v>
      </c>
      <c r="D154" s="298">
        <v>1030</v>
      </c>
      <c r="E154" s="425">
        <f>管材!M16</f>
        <v>42.3</v>
      </c>
      <c r="F154" s="426">
        <f t="shared" ref="F151:F157" si="32">D154*E154</f>
        <v>43569</v>
      </c>
      <c r="G154" s="437">
        <f t="shared" si="31"/>
        <v>43569</v>
      </c>
    </row>
    <row r="155" ht="20" customHeight="1" spans="1:7">
      <c r="A155" s="123" t="s">
        <v>248</v>
      </c>
      <c r="B155" s="406" t="s">
        <v>332</v>
      </c>
      <c r="C155" s="123" t="s">
        <v>167</v>
      </c>
      <c r="D155" s="298">
        <v>9866</v>
      </c>
      <c r="E155" s="425">
        <f>管材!L16</f>
        <v>34.54</v>
      </c>
      <c r="F155" s="426">
        <f t="shared" si="32"/>
        <v>340771.64</v>
      </c>
      <c r="G155" s="437">
        <f t="shared" si="31"/>
        <v>340771.64</v>
      </c>
    </row>
    <row r="156" ht="20" customHeight="1" spans="1:7">
      <c r="A156" s="123"/>
      <c r="B156" s="406" t="s">
        <v>333</v>
      </c>
      <c r="C156" s="123" t="s">
        <v>167</v>
      </c>
      <c r="D156" s="298">
        <f>D154+D155</f>
        <v>10896</v>
      </c>
      <c r="E156" s="425">
        <v>3.9</v>
      </c>
      <c r="F156" s="426">
        <f t="shared" si="32"/>
        <v>42494.4</v>
      </c>
      <c r="G156" s="437">
        <f t="shared" si="31"/>
        <v>42494.4</v>
      </c>
    </row>
    <row r="157" ht="20" customHeight="1" spans="1:7">
      <c r="A157" s="123" t="s">
        <v>334</v>
      </c>
      <c r="B157" s="406" t="s">
        <v>335</v>
      </c>
      <c r="C157" s="484" t="s">
        <v>336</v>
      </c>
      <c r="D157" s="484">
        <v>0.1</v>
      </c>
      <c r="E157" s="425">
        <f>F154+F155</f>
        <v>384340.64</v>
      </c>
      <c r="F157" s="426">
        <f t="shared" si="32"/>
        <v>38434.064</v>
      </c>
      <c r="G157" s="437">
        <f t="shared" si="31"/>
        <v>38434.064</v>
      </c>
    </row>
    <row r="158" ht="20" customHeight="1" spans="1:7">
      <c r="A158" s="123" t="s">
        <v>337</v>
      </c>
      <c r="B158" s="406" t="s">
        <v>338</v>
      </c>
      <c r="C158" s="123" t="s">
        <v>248</v>
      </c>
      <c r="D158" s="298"/>
      <c r="E158" s="425"/>
      <c r="F158" s="426">
        <f>SUM(F159:F160)</f>
        <v>110191.58</v>
      </c>
      <c r="G158" s="437">
        <f t="shared" si="31"/>
        <v>0</v>
      </c>
    </row>
    <row r="159" ht="20" customHeight="1" spans="1:7">
      <c r="A159" s="123" t="s">
        <v>248</v>
      </c>
      <c r="B159" s="406" t="s">
        <v>339</v>
      </c>
      <c r="C159" s="123" t="s">
        <v>169</v>
      </c>
      <c r="D159" s="298">
        <v>16454</v>
      </c>
      <c r="E159" s="425">
        <v>3.98</v>
      </c>
      <c r="F159" s="426">
        <f t="shared" ref="F159:F163" si="33">D159*E159</f>
        <v>65486.92</v>
      </c>
      <c r="G159" s="437">
        <f t="shared" si="31"/>
        <v>65486.92</v>
      </c>
    </row>
    <row r="160" ht="20" customHeight="1" spans="1:7">
      <c r="A160" s="123" t="s">
        <v>248</v>
      </c>
      <c r="B160" s="406" t="s">
        <v>340</v>
      </c>
      <c r="C160" s="123" t="s">
        <v>169</v>
      </c>
      <c r="D160" s="298">
        <v>15631</v>
      </c>
      <c r="E160" s="425">
        <v>2.86</v>
      </c>
      <c r="F160" s="426">
        <f t="shared" si="33"/>
        <v>44704.66</v>
      </c>
      <c r="G160" s="437">
        <f t="shared" si="31"/>
        <v>44704.66</v>
      </c>
    </row>
    <row r="161" ht="20" customHeight="1" spans="1:7">
      <c r="A161" s="123" t="s">
        <v>342</v>
      </c>
      <c r="B161" s="406" t="s">
        <v>343</v>
      </c>
      <c r="C161" s="123"/>
      <c r="D161" s="298"/>
      <c r="E161" s="425"/>
      <c r="F161" s="426">
        <f>SUM(F162:F163)</f>
        <v>22400</v>
      </c>
      <c r="G161" s="437">
        <f t="shared" si="31"/>
        <v>0</v>
      </c>
    </row>
    <row r="162" ht="20" customHeight="1" spans="1:7">
      <c r="A162" s="123" t="s">
        <v>248</v>
      </c>
      <c r="B162" s="406" t="s">
        <v>344</v>
      </c>
      <c r="C162" s="123" t="s">
        <v>193</v>
      </c>
      <c r="D162" s="298">
        <v>14</v>
      </c>
      <c r="E162" s="425">
        <v>650</v>
      </c>
      <c r="F162" s="426">
        <f t="shared" si="33"/>
        <v>9100</v>
      </c>
      <c r="G162" s="437">
        <f t="shared" si="31"/>
        <v>9100</v>
      </c>
    </row>
    <row r="163" ht="20" customHeight="1" spans="1:7">
      <c r="A163" s="123" t="s">
        <v>248</v>
      </c>
      <c r="B163" s="406" t="s">
        <v>345</v>
      </c>
      <c r="C163" s="123" t="s">
        <v>305</v>
      </c>
      <c r="D163" s="298">
        <f>D162</f>
        <v>14</v>
      </c>
      <c r="E163" s="425">
        <f>950</f>
        <v>950</v>
      </c>
      <c r="F163" s="426">
        <f t="shared" si="33"/>
        <v>13300</v>
      </c>
      <c r="G163" s="437">
        <f t="shared" si="31"/>
        <v>13300</v>
      </c>
    </row>
    <row r="164" ht="20" customHeight="1" spans="1:7">
      <c r="A164" s="485" t="s">
        <v>346</v>
      </c>
      <c r="B164" s="406" t="s">
        <v>347</v>
      </c>
      <c r="C164" s="123" t="s">
        <v>193</v>
      </c>
      <c r="D164" s="298">
        <v>1</v>
      </c>
      <c r="E164" s="425"/>
      <c r="F164" s="426">
        <f>F165</f>
        <v>15050.875</v>
      </c>
      <c r="G164" s="437">
        <f t="shared" si="31"/>
        <v>0</v>
      </c>
    </row>
    <row r="165" ht="20" customHeight="1" spans="1:7">
      <c r="A165" s="123" t="s">
        <v>248</v>
      </c>
      <c r="B165" s="406" t="s">
        <v>348</v>
      </c>
      <c r="C165" s="123" t="s">
        <v>167</v>
      </c>
      <c r="D165" s="298">
        <v>51.5</v>
      </c>
      <c r="E165" s="425">
        <f>建筑概算核!H467</f>
        <v>292.25</v>
      </c>
      <c r="F165" s="426">
        <f t="shared" ref="F165:F174" si="34">D165*E165</f>
        <v>15050.875</v>
      </c>
      <c r="G165" s="437">
        <f t="shared" si="31"/>
        <v>15050.875</v>
      </c>
    </row>
    <row r="166" ht="20" customHeight="1" spans="1:7">
      <c r="A166" s="123" t="s">
        <v>349</v>
      </c>
      <c r="B166" s="406" t="s">
        <v>350</v>
      </c>
      <c r="C166" s="123" t="s">
        <v>248</v>
      </c>
      <c r="D166" s="298"/>
      <c r="E166" s="425"/>
      <c r="F166" s="426">
        <f>F167+F174+F175+F178</f>
        <v>299977.118</v>
      </c>
      <c r="G166" s="437">
        <f t="shared" si="31"/>
        <v>0</v>
      </c>
    </row>
    <row r="167" ht="20" customHeight="1" spans="1:7">
      <c r="A167" s="123" t="s">
        <v>329</v>
      </c>
      <c r="B167" s="406" t="s">
        <v>330</v>
      </c>
      <c r="C167" s="123"/>
      <c r="D167" s="298"/>
      <c r="E167" s="425"/>
      <c r="F167" s="426">
        <f>SUM(F168:F173)</f>
        <v>187322.83</v>
      </c>
      <c r="G167" s="437">
        <f t="shared" si="31"/>
        <v>0</v>
      </c>
    </row>
    <row r="168" ht="20" customHeight="1" spans="1:7">
      <c r="A168" s="123"/>
      <c r="B168" s="406" t="s">
        <v>404</v>
      </c>
      <c r="C168" s="123" t="s">
        <v>167</v>
      </c>
      <c r="D168" s="298">
        <v>3332</v>
      </c>
      <c r="E168" s="425">
        <f>建筑概算核!H470</f>
        <v>21.31</v>
      </c>
      <c r="F168" s="426">
        <f t="shared" si="34"/>
        <v>71004.92</v>
      </c>
      <c r="G168" s="437">
        <f t="shared" si="31"/>
        <v>71004.92</v>
      </c>
    </row>
    <row r="169" ht="20" customHeight="1" spans="1:7">
      <c r="A169" s="123"/>
      <c r="B169" s="406" t="s">
        <v>352</v>
      </c>
      <c r="C169" s="123" t="s">
        <v>167</v>
      </c>
      <c r="D169" s="298">
        <v>4594</v>
      </c>
      <c r="E169" s="425">
        <f>建筑概算核!H471</f>
        <v>9.47</v>
      </c>
      <c r="F169" s="426">
        <f t="shared" si="34"/>
        <v>43505.18</v>
      </c>
      <c r="G169" s="437">
        <f t="shared" si="31"/>
        <v>43505.18</v>
      </c>
    </row>
    <row r="170" ht="20" customHeight="1" spans="1:7">
      <c r="A170" s="123"/>
      <c r="B170" s="406" t="s">
        <v>353</v>
      </c>
      <c r="C170" s="123" t="s">
        <v>167</v>
      </c>
      <c r="D170" s="298">
        <v>2619</v>
      </c>
      <c r="E170" s="425">
        <f>建筑概算核!H472</f>
        <v>13.61</v>
      </c>
      <c r="F170" s="426">
        <f t="shared" si="34"/>
        <v>35644.59</v>
      </c>
      <c r="G170" s="437">
        <f t="shared" si="31"/>
        <v>35644.59</v>
      </c>
    </row>
    <row r="171" ht="20" customHeight="1" spans="1:7">
      <c r="A171" s="123"/>
      <c r="B171" s="406" t="s">
        <v>354</v>
      </c>
      <c r="C171" s="123" t="s">
        <v>167</v>
      </c>
      <c r="D171" s="298">
        <v>29</v>
      </c>
      <c r="E171" s="425">
        <f>建筑概算核!H473</f>
        <v>21.31</v>
      </c>
      <c r="F171" s="426">
        <f t="shared" si="34"/>
        <v>617.99</v>
      </c>
      <c r="G171" s="437">
        <f t="shared" si="31"/>
        <v>617.99</v>
      </c>
    </row>
    <row r="172" ht="20" customHeight="1" spans="1:7">
      <c r="A172" s="123"/>
      <c r="B172" s="406" t="s">
        <v>355</v>
      </c>
      <c r="C172" s="123" t="s">
        <v>167</v>
      </c>
      <c r="D172" s="298">
        <f>D169+D170</f>
        <v>7213</v>
      </c>
      <c r="E172" s="425">
        <v>3.25</v>
      </c>
      <c r="F172" s="426">
        <f t="shared" si="34"/>
        <v>23442.25</v>
      </c>
      <c r="G172" s="437">
        <f t="shared" si="31"/>
        <v>23442.25</v>
      </c>
    </row>
    <row r="173" ht="20" customHeight="1" spans="1:7">
      <c r="A173" s="123"/>
      <c r="B173" s="406" t="s">
        <v>405</v>
      </c>
      <c r="C173" s="123" t="s">
        <v>167</v>
      </c>
      <c r="D173" s="298">
        <f>D168+D171</f>
        <v>3361</v>
      </c>
      <c r="E173" s="425">
        <v>3.9</v>
      </c>
      <c r="F173" s="426">
        <f t="shared" si="34"/>
        <v>13107.9</v>
      </c>
      <c r="G173" s="437">
        <f t="shared" si="31"/>
        <v>13107.9</v>
      </c>
    </row>
    <row r="174" ht="20" customHeight="1" spans="1:7">
      <c r="A174" s="486">
        <v>-2</v>
      </c>
      <c r="B174" s="406" t="s">
        <v>357</v>
      </c>
      <c r="C174" s="484" t="s">
        <v>336</v>
      </c>
      <c r="D174" s="484">
        <v>0.1</v>
      </c>
      <c r="E174" s="425">
        <f>F168+F169+F171+F170</f>
        <v>150772.68</v>
      </c>
      <c r="F174" s="426">
        <f t="shared" si="34"/>
        <v>15077.268</v>
      </c>
      <c r="G174" s="437">
        <f t="shared" si="31"/>
        <v>15077.268</v>
      </c>
    </row>
    <row r="175" ht="20" customHeight="1" spans="1:7">
      <c r="A175" s="123" t="s">
        <v>337</v>
      </c>
      <c r="B175" s="406" t="s">
        <v>338</v>
      </c>
      <c r="C175" s="123" t="s">
        <v>248</v>
      </c>
      <c r="D175" s="298"/>
      <c r="E175" s="425"/>
      <c r="F175" s="426">
        <f>SUM(F176:F177)</f>
        <v>49417.02</v>
      </c>
      <c r="G175" s="437">
        <f t="shared" si="31"/>
        <v>0</v>
      </c>
    </row>
    <row r="176" ht="20" customHeight="1" spans="1:7">
      <c r="A176" s="123" t="s">
        <v>248</v>
      </c>
      <c r="B176" s="406" t="s">
        <v>339</v>
      </c>
      <c r="C176" s="123" t="s">
        <v>169</v>
      </c>
      <c r="D176" s="298">
        <v>7379</v>
      </c>
      <c r="E176" s="425">
        <v>3.98</v>
      </c>
      <c r="F176" s="426">
        <f t="shared" ref="F176:F181" si="35">D176*E176</f>
        <v>29368.42</v>
      </c>
      <c r="G176" s="437">
        <f t="shared" si="31"/>
        <v>29368.42</v>
      </c>
    </row>
    <row r="177" ht="20" customHeight="1" spans="1:7">
      <c r="A177" s="123" t="s">
        <v>248</v>
      </c>
      <c r="B177" s="406" t="s">
        <v>340</v>
      </c>
      <c r="C177" s="123" t="s">
        <v>169</v>
      </c>
      <c r="D177" s="298">
        <v>7010</v>
      </c>
      <c r="E177" s="425">
        <v>2.86</v>
      </c>
      <c r="F177" s="426">
        <f t="shared" si="35"/>
        <v>20048.6</v>
      </c>
      <c r="G177" s="437">
        <f t="shared" si="31"/>
        <v>20048.6</v>
      </c>
    </row>
    <row r="178" ht="20" customHeight="1" spans="1:7">
      <c r="A178" s="123" t="s">
        <v>342</v>
      </c>
      <c r="B178" s="406" t="s">
        <v>359</v>
      </c>
      <c r="C178" s="123"/>
      <c r="D178" s="484"/>
      <c r="E178" s="425"/>
      <c r="F178" s="426">
        <f>SUM(F179:F181)</f>
        <v>48160</v>
      </c>
      <c r="G178" s="437">
        <f t="shared" si="31"/>
        <v>0</v>
      </c>
    </row>
    <row r="179" ht="20" customHeight="1" spans="1:7">
      <c r="A179" s="123"/>
      <c r="B179" s="406" t="s">
        <v>360</v>
      </c>
      <c r="C179" s="123" t="s">
        <v>193</v>
      </c>
      <c r="D179" s="298">
        <v>14</v>
      </c>
      <c r="E179" s="425">
        <v>220</v>
      </c>
      <c r="F179" s="426">
        <f t="shared" si="35"/>
        <v>3080</v>
      </c>
      <c r="G179" s="437">
        <f t="shared" si="31"/>
        <v>3080</v>
      </c>
    </row>
    <row r="180" ht="20" customHeight="1" spans="1:7">
      <c r="A180" s="123" t="s">
        <v>248</v>
      </c>
      <c r="B180" s="406" t="s">
        <v>361</v>
      </c>
      <c r="C180" s="123" t="s">
        <v>193</v>
      </c>
      <c r="D180" s="298">
        <f t="shared" ref="D180:D185" si="36">D179</f>
        <v>14</v>
      </c>
      <c r="E180" s="425">
        <f>E179</f>
        <v>220</v>
      </c>
      <c r="F180" s="426">
        <f t="shared" si="35"/>
        <v>3080</v>
      </c>
      <c r="G180" s="437">
        <f t="shared" si="31"/>
        <v>3080</v>
      </c>
    </row>
    <row r="181" ht="20" customHeight="1" spans="1:7">
      <c r="A181" s="123" t="s">
        <v>248</v>
      </c>
      <c r="B181" s="406" t="s">
        <v>406</v>
      </c>
      <c r="C181" s="123" t="s">
        <v>363</v>
      </c>
      <c r="D181" s="298">
        <f t="shared" si="36"/>
        <v>14</v>
      </c>
      <c r="E181" s="425">
        <v>3000</v>
      </c>
      <c r="F181" s="426">
        <f t="shared" si="35"/>
        <v>42000</v>
      </c>
      <c r="G181" s="437">
        <f t="shared" si="31"/>
        <v>42000</v>
      </c>
    </row>
    <row r="182" ht="20" customHeight="1" spans="1:7">
      <c r="A182" s="485" t="s">
        <v>364</v>
      </c>
      <c r="B182" s="406" t="s">
        <v>365</v>
      </c>
      <c r="C182" s="123"/>
      <c r="D182" s="298"/>
      <c r="E182" s="425"/>
      <c r="F182" s="426">
        <f>F183+F186+F187+F190</f>
        <v>18611.3021235495</v>
      </c>
      <c r="G182" s="437">
        <f t="shared" si="31"/>
        <v>0</v>
      </c>
    </row>
    <row r="183" ht="20" customHeight="1" spans="1:7">
      <c r="A183" s="123" t="s">
        <v>329</v>
      </c>
      <c r="B183" s="406" t="s">
        <v>330</v>
      </c>
      <c r="C183" s="123"/>
      <c r="D183" s="298"/>
      <c r="E183" s="425"/>
      <c r="F183" s="426">
        <f>SUM(F184:F185)</f>
        <v>626.652</v>
      </c>
      <c r="G183" s="437">
        <f t="shared" si="31"/>
        <v>0</v>
      </c>
    </row>
    <row r="184" ht="20" customHeight="1" spans="1:7">
      <c r="A184" s="485"/>
      <c r="B184" s="487" t="s">
        <v>367</v>
      </c>
      <c r="C184" s="480" t="s">
        <v>167</v>
      </c>
      <c r="D184" s="298">
        <v>61.8</v>
      </c>
      <c r="E184" s="425">
        <f>管材!L10</f>
        <v>6.89</v>
      </c>
      <c r="F184" s="426">
        <f t="shared" ref="F184:F186" si="37">D184*E184</f>
        <v>425.802</v>
      </c>
      <c r="G184" s="437">
        <f t="shared" si="31"/>
        <v>425.802</v>
      </c>
    </row>
    <row r="185" ht="20" customHeight="1" spans="1:7">
      <c r="A185" s="485"/>
      <c r="B185" s="487" t="s">
        <v>368</v>
      </c>
      <c r="C185" s="480" t="s">
        <v>167</v>
      </c>
      <c r="D185" s="298">
        <f t="shared" si="36"/>
        <v>61.8</v>
      </c>
      <c r="E185" s="425">
        <v>3.25</v>
      </c>
      <c r="F185" s="426">
        <f t="shared" si="37"/>
        <v>200.85</v>
      </c>
      <c r="G185" s="437">
        <f t="shared" si="31"/>
        <v>200.85</v>
      </c>
    </row>
    <row r="186" ht="20" customHeight="1" spans="1:7">
      <c r="A186" s="486">
        <v>-2</v>
      </c>
      <c r="B186" s="406" t="s">
        <v>369</v>
      </c>
      <c r="C186" s="484" t="s">
        <v>336</v>
      </c>
      <c r="D186" s="484">
        <v>0.1</v>
      </c>
      <c r="E186" s="425">
        <f>F184</f>
        <v>425.802</v>
      </c>
      <c r="F186" s="426">
        <f t="shared" si="37"/>
        <v>42.5802</v>
      </c>
      <c r="G186" s="437">
        <f t="shared" si="31"/>
        <v>42.5802</v>
      </c>
    </row>
    <row r="187" ht="20" customHeight="1" spans="1:7">
      <c r="A187" s="123" t="s">
        <v>337</v>
      </c>
      <c r="B187" s="406" t="s">
        <v>338</v>
      </c>
      <c r="C187" s="484"/>
      <c r="D187" s="484"/>
      <c r="E187" s="425"/>
      <c r="F187" s="426">
        <f>SUM(F188:F189)</f>
        <v>562.869456</v>
      </c>
      <c r="G187" s="437">
        <f t="shared" si="31"/>
        <v>0</v>
      </c>
    </row>
    <row r="188" ht="20" customHeight="1" spans="1:7">
      <c r="A188" s="485"/>
      <c r="B188" s="406" t="s">
        <v>339</v>
      </c>
      <c r="C188" s="123" t="s">
        <v>307</v>
      </c>
      <c r="D188" s="298">
        <v>84.048</v>
      </c>
      <c r="E188" s="425">
        <f>E159</f>
        <v>3.98</v>
      </c>
      <c r="F188" s="426">
        <f t="shared" ref="F188:F196" si="38">D188*E188</f>
        <v>334.51104</v>
      </c>
      <c r="G188" s="437">
        <f t="shared" si="31"/>
        <v>334.51104</v>
      </c>
    </row>
    <row r="189" ht="20" customHeight="1" spans="1:7">
      <c r="A189" s="485"/>
      <c r="B189" s="406" t="s">
        <v>340</v>
      </c>
      <c r="C189" s="123" t="s">
        <v>307</v>
      </c>
      <c r="D189" s="298">
        <v>79.8456</v>
      </c>
      <c r="E189" s="425">
        <f>E160</f>
        <v>2.86</v>
      </c>
      <c r="F189" s="426">
        <f t="shared" si="38"/>
        <v>228.358416</v>
      </c>
      <c r="G189" s="437">
        <f t="shared" si="31"/>
        <v>228.358416</v>
      </c>
    </row>
    <row r="190" ht="20" customHeight="1" spans="1:7">
      <c r="A190" s="486">
        <v>-4</v>
      </c>
      <c r="B190" s="406" t="s">
        <v>371</v>
      </c>
      <c r="C190" s="123" t="s">
        <v>193</v>
      </c>
      <c r="D190" s="298">
        <v>12</v>
      </c>
      <c r="E190" s="425"/>
      <c r="F190" s="426">
        <f>SUM(F191:F196)</f>
        <v>17379.2004675495</v>
      </c>
      <c r="G190" s="437">
        <f t="shared" si="31"/>
        <v>0</v>
      </c>
    </row>
    <row r="191" ht="20" customHeight="1" spans="1:7">
      <c r="A191" s="485" t="s">
        <v>248</v>
      </c>
      <c r="B191" s="406" t="s">
        <v>372</v>
      </c>
      <c r="C191" s="123" t="s">
        <v>305</v>
      </c>
      <c r="D191" s="298">
        <f>D190</f>
        <v>12</v>
      </c>
      <c r="E191" s="425">
        <f>建筑概算核!H493</f>
        <v>1000</v>
      </c>
      <c r="F191" s="426">
        <f t="shared" si="38"/>
        <v>12000</v>
      </c>
      <c r="G191" s="437">
        <f t="shared" si="31"/>
        <v>12000</v>
      </c>
    </row>
    <row r="192" ht="20" customHeight="1" spans="1:7">
      <c r="A192" s="485" t="s">
        <v>248</v>
      </c>
      <c r="B192" s="406" t="s">
        <v>373</v>
      </c>
      <c r="C192" s="123" t="s">
        <v>307</v>
      </c>
      <c r="D192" s="298">
        <v>7.3</v>
      </c>
      <c r="E192" s="425">
        <f>建筑概算核!H494</f>
        <v>559.23015732759</v>
      </c>
      <c r="F192" s="426">
        <f t="shared" si="38"/>
        <v>4082.38014849141</v>
      </c>
      <c r="G192" s="437">
        <f t="shared" si="31"/>
        <v>4082.38014849141</v>
      </c>
    </row>
    <row r="193" ht="20" customHeight="1" spans="1:7">
      <c r="A193" s="123" t="s">
        <v>248</v>
      </c>
      <c r="B193" s="406" t="s">
        <v>374</v>
      </c>
      <c r="C193" s="123" t="s">
        <v>307</v>
      </c>
      <c r="D193" s="298">
        <v>0.7</v>
      </c>
      <c r="E193" s="425">
        <f>建筑概算核!H495</f>
        <v>128.489047091908</v>
      </c>
      <c r="F193" s="426">
        <f t="shared" si="38"/>
        <v>89.9423329643356</v>
      </c>
      <c r="G193" s="437">
        <f t="shared" si="31"/>
        <v>89.9423329643356</v>
      </c>
    </row>
    <row r="194" ht="20" customHeight="1" spans="1:7">
      <c r="A194" s="123" t="s">
        <v>248</v>
      </c>
      <c r="B194" s="406" t="s">
        <v>375</v>
      </c>
      <c r="C194" s="123" t="s">
        <v>305</v>
      </c>
      <c r="D194" s="298">
        <f>D190</f>
        <v>12</v>
      </c>
      <c r="E194" s="425">
        <f>建筑概算核!H496</f>
        <v>50</v>
      </c>
      <c r="F194" s="426">
        <f t="shared" si="38"/>
        <v>600</v>
      </c>
      <c r="G194" s="437">
        <f t="shared" si="31"/>
        <v>600</v>
      </c>
    </row>
    <row r="195" ht="20" customHeight="1" spans="1:7">
      <c r="A195" s="123" t="s">
        <v>248</v>
      </c>
      <c r="B195" s="406" t="s">
        <v>376</v>
      </c>
      <c r="C195" s="123" t="s">
        <v>307</v>
      </c>
      <c r="D195" s="298">
        <v>0.32</v>
      </c>
      <c r="E195" s="425">
        <f>建筑概算核!H497</f>
        <v>583.993706543077</v>
      </c>
      <c r="F195" s="426">
        <f t="shared" si="38"/>
        <v>186.877986093785</v>
      </c>
      <c r="G195" s="437">
        <f t="shared" si="31"/>
        <v>186.877986093785</v>
      </c>
    </row>
    <row r="196" ht="20" customHeight="1" spans="1:7">
      <c r="A196" s="123" t="s">
        <v>248</v>
      </c>
      <c r="B196" s="406" t="s">
        <v>377</v>
      </c>
      <c r="C196" s="123" t="s">
        <v>363</v>
      </c>
      <c r="D196" s="298">
        <f>D190</f>
        <v>12</v>
      </c>
      <c r="E196" s="425">
        <f>建筑概算核!H498</f>
        <v>35</v>
      </c>
      <c r="F196" s="426">
        <f t="shared" si="38"/>
        <v>420</v>
      </c>
      <c r="G196" s="437">
        <f t="shared" si="31"/>
        <v>420</v>
      </c>
    </row>
    <row r="197" ht="20" customHeight="1" spans="1:7">
      <c r="A197" s="123" t="s">
        <v>378</v>
      </c>
      <c r="B197" s="406" t="s">
        <v>379</v>
      </c>
      <c r="C197" s="123" t="s">
        <v>248</v>
      </c>
      <c r="D197" s="298"/>
      <c r="E197" s="425"/>
      <c r="F197" s="426">
        <f>SUM(F198:F202)</f>
        <v>163605.612</v>
      </c>
      <c r="G197" s="437">
        <f t="shared" si="31"/>
        <v>0</v>
      </c>
    </row>
    <row r="198" ht="20" customHeight="1" spans="1:7">
      <c r="A198" s="123"/>
      <c r="B198" s="487" t="s">
        <v>380</v>
      </c>
      <c r="C198" s="480" t="s">
        <v>167</v>
      </c>
      <c r="D198" s="298">
        <v>12212</v>
      </c>
      <c r="E198" s="425">
        <f>建筑概算核!H500</f>
        <v>9.36</v>
      </c>
      <c r="F198" s="426">
        <f t="shared" ref="F198:F202" si="39">D198*E198</f>
        <v>114304.32</v>
      </c>
      <c r="G198" s="437">
        <f t="shared" si="31"/>
        <v>114304.32</v>
      </c>
    </row>
    <row r="199" ht="20" customHeight="1" spans="1:7">
      <c r="A199" s="123"/>
      <c r="B199" s="406" t="s">
        <v>381</v>
      </c>
      <c r="C199" s="123" t="s">
        <v>167</v>
      </c>
      <c r="D199" s="298">
        <v>2410</v>
      </c>
      <c r="E199" s="425">
        <f>建筑概算核!H501</f>
        <v>1.86</v>
      </c>
      <c r="F199" s="426">
        <f t="shared" si="39"/>
        <v>4482.6</v>
      </c>
      <c r="G199" s="437">
        <f t="shared" si="31"/>
        <v>4482.6</v>
      </c>
    </row>
    <row r="200" ht="20" customHeight="1" spans="1:7">
      <c r="A200" s="123"/>
      <c r="B200" s="406" t="s">
        <v>382</v>
      </c>
      <c r="C200" s="123" t="s">
        <v>167</v>
      </c>
      <c r="D200" s="298">
        <f>D198</f>
        <v>12212</v>
      </c>
      <c r="E200" s="425">
        <f>建筑概算核!H502</f>
        <v>2.5</v>
      </c>
      <c r="F200" s="426">
        <f t="shared" si="39"/>
        <v>30530</v>
      </c>
      <c r="G200" s="437">
        <f t="shared" si="31"/>
        <v>30530</v>
      </c>
    </row>
    <row r="201" ht="20" customHeight="1" spans="1:7">
      <c r="A201" s="123" t="s">
        <v>248</v>
      </c>
      <c r="B201" s="406" t="s">
        <v>383</v>
      </c>
      <c r="C201" s="123" t="s">
        <v>167</v>
      </c>
      <c r="D201" s="298">
        <f>D199</f>
        <v>2410</v>
      </c>
      <c r="E201" s="425">
        <f>建筑概算核!H503</f>
        <v>1</v>
      </c>
      <c r="F201" s="426">
        <f t="shared" si="39"/>
        <v>2410</v>
      </c>
      <c r="G201" s="437">
        <f t="shared" si="31"/>
        <v>2410</v>
      </c>
    </row>
    <row r="202" ht="20" customHeight="1" spans="1:7">
      <c r="A202" s="123"/>
      <c r="B202" s="406" t="s">
        <v>385</v>
      </c>
      <c r="C202" s="484" t="s">
        <v>336</v>
      </c>
      <c r="D202" s="484">
        <v>0.1</v>
      </c>
      <c r="E202" s="425">
        <f>F198+F199</f>
        <v>118786.92</v>
      </c>
      <c r="F202" s="426">
        <f t="shared" si="39"/>
        <v>11878.692</v>
      </c>
      <c r="G202" s="437">
        <f t="shared" si="31"/>
        <v>11878.692</v>
      </c>
    </row>
    <row r="203" ht="20" customHeight="1" spans="1:7">
      <c r="A203" s="123" t="s">
        <v>386</v>
      </c>
      <c r="B203" s="406" t="s">
        <v>387</v>
      </c>
      <c r="C203" s="123" t="s">
        <v>248</v>
      </c>
      <c r="D203" s="425"/>
      <c r="E203" s="425"/>
      <c r="F203" s="426">
        <f>F204+F205</f>
        <v>155557.6</v>
      </c>
      <c r="G203" s="437">
        <f t="shared" si="31"/>
        <v>0</v>
      </c>
    </row>
    <row r="204" ht="20" customHeight="1" spans="1:7">
      <c r="A204" s="123" t="s">
        <v>248</v>
      </c>
      <c r="B204" s="406" t="s">
        <v>388</v>
      </c>
      <c r="C204" s="123" t="s">
        <v>363</v>
      </c>
      <c r="D204" s="425">
        <v>1607</v>
      </c>
      <c r="E204" s="425">
        <f>建筑概算核!H506</f>
        <v>88</v>
      </c>
      <c r="F204" s="426">
        <f>D204*E204</f>
        <v>141416</v>
      </c>
      <c r="G204" s="437">
        <f t="shared" si="31"/>
        <v>141416</v>
      </c>
    </row>
    <row r="205" ht="20" customHeight="1" spans="1:7">
      <c r="A205" s="123" t="s">
        <v>248</v>
      </c>
      <c r="B205" s="406" t="s">
        <v>390</v>
      </c>
      <c r="C205" s="123" t="s">
        <v>363</v>
      </c>
      <c r="D205" s="425">
        <f>D204</f>
        <v>1607</v>
      </c>
      <c r="E205" s="425">
        <f>建筑概算核!H507</f>
        <v>8.8</v>
      </c>
      <c r="F205" s="426">
        <f>D205*E205</f>
        <v>14141.6</v>
      </c>
      <c r="G205" s="437">
        <f t="shared" si="31"/>
        <v>14141.6</v>
      </c>
    </row>
    <row r="206" ht="20" customHeight="1" spans="1:7">
      <c r="A206" s="123"/>
      <c r="B206" s="406"/>
      <c r="C206" s="123"/>
      <c r="D206" s="425"/>
      <c r="E206" s="425"/>
      <c r="F206" s="426"/>
      <c r="G206" s="437"/>
    </row>
    <row r="207" ht="20" customHeight="1" spans="1:7">
      <c r="A207" s="123"/>
      <c r="B207" s="406"/>
      <c r="C207" s="123"/>
      <c r="D207" s="425"/>
      <c r="E207" s="425"/>
      <c r="F207" s="426"/>
      <c r="G207" s="437"/>
    </row>
    <row r="208" ht="20" customHeight="1" spans="1:7">
      <c r="A208" s="123"/>
      <c r="B208" s="406"/>
      <c r="C208" s="123"/>
      <c r="D208" s="425"/>
      <c r="E208" s="425"/>
      <c r="F208" s="426"/>
      <c r="G208" s="437"/>
    </row>
    <row r="209" ht="20" customHeight="1" spans="1:7">
      <c r="A209" s="7"/>
      <c r="B209" s="438"/>
      <c r="C209" s="123"/>
      <c r="D209" s="488"/>
      <c r="E209" s="488"/>
      <c r="F209" s="426"/>
      <c r="G209" s="437"/>
    </row>
    <row r="210" ht="20" customHeight="1" spans="1:7">
      <c r="A210" s="489" t="s">
        <v>418</v>
      </c>
      <c r="B210" s="489"/>
      <c r="C210" s="489"/>
      <c r="D210" s="489"/>
      <c r="E210" s="489"/>
      <c r="F210" s="489"/>
      <c r="G210" s="226"/>
    </row>
    <row r="211" ht="20" customHeight="1" spans="1:7">
      <c r="A211" s="228"/>
      <c r="B211" s="227"/>
      <c r="C211" s="228"/>
      <c r="D211" s="228"/>
      <c r="E211" s="228" t="s">
        <v>419</v>
      </c>
      <c r="F211" s="228"/>
      <c r="G211" s="229"/>
    </row>
    <row r="212" ht="20" customHeight="1" spans="1:7">
      <c r="A212" s="7" t="s">
        <v>104</v>
      </c>
      <c r="B212" s="7" t="s">
        <v>420</v>
      </c>
      <c r="C212" s="7" t="s">
        <v>159</v>
      </c>
      <c r="D212" s="7" t="s">
        <v>421</v>
      </c>
      <c r="E212" s="7" t="s">
        <v>422</v>
      </c>
      <c r="F212" s="7" t="s">
        <v>18</v>
      </c>
      <c r="G212" s="229"/>
    </row>
    <row r="213" ht="20" customHeight="1" spans="1:7">
      <c r="A213" s="7"/>
      <c r="B213" s="11" t="s">
        <v>87</v>
      </c>
      <c r="C213" s="7"/>
      <c r="D213" s="7"/>
      <c r="E213" s="7"/>
      <c r="F213" s="90">
        <f>F214+F220+F222+F223+F226</f>
        <v>719944.671111279</v>
      </c>
      <c r="G213" s="490"/>
    </row>
    <row r="214" ht="20" customHeight="1" spans="1:7">
      <c r="A214" s="7" t="s">
        <v>34</v>
      </c>
      <c r="B214" s="11" t="s">
        <v>423</v>
      </c>
      <c r="C214" s="7"/>
      <c r="D214" s="7"/>
      <c r="E214" s="7"/>
      <c r="F214" s="90">
        <f>F215+F217</f>
        <v>462114.839963227</v>
      </c>
      <c r="G214" s="490"/>
    </row>
    <row r="215" ht="20" customHeight="1" spans="1:7">
      <c r="A215" s="7">
        <v>1</v>
      </c>
      <c r="B215" s="11" t="s">
        <v>424</v>
      </c>
      <c r="C215" s="7" t="s">
        <v>167</v>
      </c>
      <c r="D215" s="7">
        <v>4815</v>
      </c>
      <c r="E215" s="69"/>
      <c r="F215" s="90">
        <f>F216</f>
        <v>84456.7053242163</v>
      </c>
      <c r="G215" s="490"/>
    </row>
    <row r="216" ht="20" customHeight="1" spans="1:7">
      <c r="A216" s="7"/>
      <c r="B216" s="487" t="s">
        <v>170</v>
      </c>
      <c r="C216" s="123" t="s">
        <v>169</v>
      </c>
      <c r="D216" s="7">
        <v>13684</v>
      </c>
      <c r="E216" s="69">
        <f>单价汇总表!D34/100</f>
        <v>6.17193111109444</v>
      </c>
      <c r="F216" s="90">
        <f t="shared" ref="F216:F219" si="40">D216*E216</f>
        <v>84456.7053242163</v>
      </c>
      <c r="G216" s="490"/>
    </row>
    <row r="217" ht="20" customHeight="1" spans="1:7">
      <c r="A217" s="123">
        <v>2</v>
      </c>
      <c r="B217" s="491" t="s">
        <v>425</v>
      </c>
      <c r="C217" s="7"/>
      <c r="D217" s="7"/>
      <c r="E217" s="69"/>
      <c r="F217" s="90">
        <f>F218+F219</f>
        <v>377658.134639011</v>
      </c>
      <c r="G217" s="490"/>
    </row>
    <row r="218" ht="20" customHeight="1" spans="1:7">
      <c r="A218" s="123"/>
      <c r="B218" s="491" t="s">
        <v>426</v>
      </c>
      <c r="C218" s="7" t="s">
        <v>167</v>
      </c>
      <c r="D218" s="492">
        <v>75</v>
      </c>
      <c r="E218" s="69">
        <v>220</v>
      </c>
      <c r="F218" s="90">
        <f t="shared" si="40"/>
        <v>16500</v>
      </c>
      <c r="G218" s="490"/>
    </row>
    <row r="219" ht="20" customHeight="1" spans="1:7">
      <c r="A219" s="107"/>
      <c r="B219" s="491" t="s">
        <v>427</v>
      </c>
      <c r="C219" s="7" t="s">
        <v>428</v>
      </c>
      <c r="D219" s="492">
        <v>20174</v>
      </c>
      <c r="E219" s="69">
        <f>台时!E294</f>
        <v>17.9021579577184</v>
      </c>
      <c r="F219" s="90">
        <f t="shared" si="40"/>
        <v>361158.134639011</v>
      </c>
      <c r="G219" s="490"/>
    </row>
    <row r="220" ht="20" customHeight="1" spans="1:7">
      <c r="A220" s="7" t="s">
        <v>46</v>
      </c>
      <c r="B220" s="493" t="s">
        <v>429</v>
      </c>
      <c r="C220" s="494"/>
      <c r="D220" s="495"/>
      <c r="E220" s="38"/>
      <c r="F220" s="90">
        <f>F221</f>
        <v>30000</v>
      </c>
      <c r="G220" s="490"/>
    </row>
    <row r="221" ht="20" customHeight="1" spans="1:7">
      <c r="A221" s="7"/>
      <c r="B221" s="493" t="s">
        <v>430</v>
      </c>
      <c r="C221" s="494" t="s">
        <v>229</v>
      </c>
      <c r="D221" s="496">
        <v>1</v>
      </c>
      <c r="E221" s="38">
        <v>30000</v>
      </c>
      <c r="F221" s="90">
        <f t="shared" ref="F221:F224" si="41">D221*E221</f>
        <v>30000</v>
      </c>
      <c r="G221" s="490"/>
    </row>
    <row r="222" ht="20" customHeight="1" spans="1:7">
      <c r="A222" s="7" t="s">
        <v>83</v>
      </c>
      <c r="B222" s="493" t="s">
        <v>431</v>
      </c>
      <c r="C222" s="494" t="s">
        <v>229</v>
      </c>
      <c r="D222" s="118">
        <v>0</v>
      </c>
      <c r="E222" s="38">
        <v>60000</v>
      </c>
      <c r="F222" s="90">
        <f t="shared" si="41"/>
        <v>0</v>
      </c>
      <c r="G222" s="490"/>
    </row>
    <row r="223" ht="20" customHeight="1" spans="1:7">
      <c r="A223" s="7" t="s">
        <v>121</v>
      </c>
      <c r="B223" s="493" t="s">
        <v>432</v>
      </c>
      <c r="C223" s="494"/>
      <c r="D223" s="90"/>
      <c r="E223" s="38"/>
      <c r="F223" s="90">
        <f>F224+F225</f>
        <v>133580.963166111</v>
      </c>
      <c r="G223" s="490"/>
    </row>
    <row r="224" ht="20" customHeight="1" spans="1:7">
      <c r="A224" s="7">
        <v>1</v>
      </c>
      <c r="B224" s="493" t="s">
        <v>433</v>
      </c>
      <c r="C224" s="7" t="s">
        <v>175</v>
      </c>
      <c r="D224" s="497">
        <v>200</v>
      </c>
      <c r="E224" s="38">
        <v>200</v>
      </c>
      <c r="F224" s="90">
        <f t="shared" si="41"/>
        <v>40000</v>
      </c>
      <c r="G224" s="490"/>
    </row>
    <row r="225" ht="20" customHeight="1" spans="1:7">
      <c r="A225" s="7">
        <v>2</v>
      </c>
      <c r="B225" s="493" t="s">
        <v>434</v>
      </c>
      <c r="C225" s="494">
        <v>0.005</v>
      </c>
      <c r="D225" s="90">
        <f>'总（高庄）'!C14*10000+F214+F220+F222</f>
        <v>18716192.6332222</v>
      </c>
      <c r="E225" s="38"/>
      <c r="F225" s="90">
        <f>C225*D225</f>
        <v>93580.9631661108</v>
      </c>
      <c r="G225" s="490"/>
    </row>
    <row r="226" ht="20" customHeight="1" spans="1:7">
      <c r="A226" s="7" t="s">
        <v>135</v>
      </c>
      <c r="B226" s="11" t="s">
        <v>435</v>
      </c>
      <c r="C226" s="494"/>
      <c r="D226" s="90"/>
      <c r="E226" s="38"/>
      <c r="F226" s="90">
        <f>F227</f>
        <v>94248.8679819414</v>
      </c>
      <c r="G226" s="490"/>
    </row>
    <row r="227" ht="20" customHeight="1" spans="1:7">
      <c r="A227" s="7">
        <v>1</v>
      </c>
      <c r="B227" s="11" t="s">
        <v>435</v>
      </c>
      <c r="C227" s="494">
        <v>0.005</v>
      </c>
      <c r="D227" s="90">
        <f>D225+F223</f>
        <v>18849773.5963883</v>
      </c>
      <c r="E227" s="38"/>
      <c r="F227" s="90">
        <f>C227*D227</f>
        <v>94248.8679819414</v>
      </c>
      <c r="G227" s="490"/>
    </row>
    <row r="228" ht="20" customHeight="1" spans="1:7">
      <c r="A228" s="7"/>
      <c r="B228" s="11"/>
      <c r="C228" s="494"/>
      <c r="D228" s="90"/>
      <c r="E228" s="38"/>
      <c r="F228" s="90"/>
      <c r="G228" s="490"/>
    </row>
    <row r="229" ht="20" customHeight="1" spans="1:7">
      <c r="A229" s="7"/>
      <c r="B229" s="11"/>
      <c r="C229" s="494"/>
      <c r="D229" s="90"/>
      <c r="E229" s="38"/>
      <c r="F229" s="90"/>
      <c r="G229" s="490"/>
    </row>
    <row r="230" ht="20" customHeight="1" spans="1:7">
      <c r="A230" s="7"/>
      <c r="B230" s="11"/>
      <c r="C230" s="494"/>
      <c r="D230" s="90"/>
      <c r="E230" s="38"/>
      <c r="F230" s="90"/>
      <c r="G230" s="490"/>
    </row>
    <row r="231" ht="20" customHeight="1" spans="1:7">
      <c r="A231" s="7"/>
      <c r="B231" s="11"/>
      <c r="C231" s="53"/>
      <c r="D231" s="90"/>
      <c r="E231" s="7"/>
      <c r="F231" s="90"/>
      <c r="G231" s="490"/>
    </row>
    <row r="232" ht="20" customHeight="1" spans="1:7">
      <c r="A232" s="489" t="s">
        <v>436</v>
      </c>
      <c r="B232" s="489"/>
      <c r="C232" s="489"/>
      <c r="D232" s="489"/>
      <c r="E232" s="489"/>
      <c r="F232" s="489"/>
      <c r="G232" s="226"/>
    </row>
    <row r="233" ht="20" customHeight="1" spans="1:7">
      <c r="A233" s="228"/>
      <c r="B233" s="228"/>
      <c r="C233" s="96"/>
      <c r="D233" s="96"/>
      <c r="E233" s="302"/>
      <c r="F233" s="498" t="s">
        <v>71</v>
      </c>
      <c r="G233" s="498"/>
    </row>
    <row r="234" ht="20" customHeight="1" spans="1:7">
      <c r="A234" s="7" t="s">
        <v>104</v>
      </c>
      <c r="B234" s="7" t="s">
        <v>437</v>
      </c>
      <c r="C234" s="7" t="s">
        <v>159</v>
      </c>
      <c r="D234" s="7" t="s">
        <v>160</v>
      </c>
      <c r="E234" s="34" t="s">
        <v>422</v>
      </c>
      <c r="F234" s="499" t="s">
        <v>156</v>
      </c>
      <c r="G234" s="498"/>
    </row>
    <row r="235" ht="20" customHeight="1" spans="1:7">
      <c r="A235" s="7" t="s">
        <v>34</v>
      </c>
      <c r="B235" s="11" t="s">
        <v>123</v>
      </c>
      <c r="C235" s="7" t="s">
        <v>438</v>
      </c>
      <c r="D235" s="7"/>
      <c r="E235" s="34"/>
      <c r="F235" s="34">
        <f>独立费用!D56</f>
        <v>72.8519154802839</v>
      </c>
      <c r="G235" s="500"/>
    </row>
    <row r="236" ht="20" customHeight="1" spans="1:7">
      <c r="A236" s="7" t="s">
        <v>439</v>
      </c>
      <c r="B236" s="11" t="s">
        <v>440</v>
      </c>
      <c r="C236" s="7" t="s">
        <v>438</v>
      </c>
      <c r="D236" s="53"/>
      <c r="E236" s="34"/>
      <c r="F236" s="34">
        <f>监理费用!E72</f>
        <v>39.866103400814</v>
      </c>
      <c r="G236" s="500"/>
    </row>
    <row r="237" ht="20" customHeight="1" spans="1:7">
      <c r="A237" s="7" t="s">
        <v>83</v>
      </c>
      <c r="B237" s="11" t="s">
        <v>441</v>
      </c>
      <c r="C237" s="7" t="s">
        <v>438</v>
      </c>
      <c r="D237" s="7"/>
      <c r="E237" s="34"/>
      <c r="F237" s="34">
        <f>SUM(F238:F239)</f>
        <v>86.6736266246028</v>
      </c>
      <c r="G237" s="500"/>
    </row>
    <row r="238" ht="20" customHeight="1" spans="1:7">
      <c r="A238" s="7">
        <v>1</v>
      </c>
      <c r="B238" s="11" t="s">
        <v>35</v>
      </c>
      <c r="C238" s="7" t="s">
        <v>438</v>
      </c>
      <c r="D238" s="53"/>
      <c r="E238" s="34"/>
      <c r="F238" s="34">
        <f>设计费!D239+设计费!I215</f>
        <v>47.0178175895107</v>
      </c>
      <c r="G238" s="500"/>
    </row>
    <row r="239" ht="20" customHeight="1" spans="1:7">
      <c r="A239" s="7">
        <v>2</v>
      </c>
      <c r="B239" s="11" t="s">
        <v>442</v>
      </c>
      <c r="C239" s="7" t="s">
        <v>438</v>
      </c>
      <c r="D239" s="53"/>
      <c r="E239" s="34"/>
      <c r="F239" s="34">
        <f>设计费!D278</f>
        <v>39.6558090350921</v>
      </c>
      <c r="G239" s="500"/>
    </row>
    <row r="240" ht="20" customHeight="1" spans="1:7">
      <c r="A240" s="7" t="s">
        <v>121</v>
      </c>
      <c r="B240" s="11" t="s">
        <v>126</v>
      </c>
      <c r="C240" s="7" t="s">
        <v>438</v>
      </c>
      <c r="D240" s="7"/>
      <c r="E240" s="34"/>
      <c r="F240" s="34">
        <f>SUM(F241:F242)</f>
        <v>56.8320673931106</v>
      </c>
      <c r="G240" s="500"/>
    </row>
    <row r="241" ht="20" customHeight="1" spans="1:7">
      <c r="A241" s="7">
        <v>1</v>
      </c>
      <c r="B241" s="11" t="s">
        <v>127</v>
      </c>
      <c r="C241" s="7" t="s">
        <v>438</v>
      </c>
      <c r="D241" s="53">
        <v>0.025</v>
      </c>
      <c r="E241" s="34">
        <f>'总（高庄）'!C16</f>
        <v>1894.40224643702</v>
      </c>
      <c r="F241" s="34">
        <f>D241*E241</f>
        <v>47.3600561609255</v>
      </c>
      <c r="G241" s="500"/>
    </row>
    <row r="242" ht="20" customHeight="1" spans="1:7">
      <c r="A242" s="7">
        <v>2</v>
      </c>
      <c r="B242" s="11" t="s">
        <v>128</v>
      </c>
      <c r="C242" s="7" t="s">
        <v>438</v>
      </c>
      <c r="D242" s="53">
        <v>0.005</v>
      </c>
      <c r="E242" s="34">
        <f>E241</f>
        <v>1894.40224643702</v>
      </c>
      <c r="F242" s="34">
        <f>D242*E242</f>
        <v>9.47201123218511</v>
      </c>
      <c r="G242" s="500"/>
    </row>
    <row r="243" ht="20" customHeight="1" spans="1:7">
      <c r="A243" s="7"/>
      <c r="B243" s="11" t="s">
        <v>156</v>
      </c>
      <c r="C243" s="7"/>
      <c r="D243" s="7"/>
      <c r="E243" s="34"/>
      <c r="F243" s="34">
        <f>F235+F236+F237+F240</f>
        <v>256.223712898811</v>
      </c>
      <c r="G243" s="500"/>
    </row>
  </sheetData>
  <mergeCells count="5">
    <mergeCell ref="A210:F210"/>
    <mergeCell ref="E211:F211"/>
    <mergeCell ref="A232:F232"/>
    <mergeCell ref="A233:B233"/>
    <mergeCell ref="A1:F3"/>
  </mergeCells>
  <pageMargins left="0.75" right="0.75" top="1" bottom="1" header="0.5" footer="0.5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K97"/>
  <sheetViews>
    <sheetView zoomScale="110" zoomScaleNormal="110" topLeftCell="A67" workbookViewId="0">
      <selection activeCell="M68" sqref="M68"/>
    </sheetView>
  </sheetViews>
  <sheetFormatPr defaultColWidth="9" defaultRowHeight="14.25"/>
  <cols>
    <col min="1" max="1" width="6.375" style="387" customWidth="1"/>
    <col min="2" max="2" width="27.5" style="323" customWidth="1"/>
    <col min="3" max="3" width="27" style="323" customWidth="1"/>
    <col min="4" max="4" width="6.875" style="229" customWidth="1"/>
    <col min="5" max="5" width="7" style="229" customWidth="1"/>
    <col min="6" max="6" width="7.875" style="229" customWidth="1"/>
    <col min="7" max="7" width="10.125" style="216" customWidth="1"/>
    <col min="8" max="8" width="12.625" style="216"/>
    <col min="9" max="9" width="11.75" style="216" customWidth="1"/>
    <col min="10" max="10" width="12.625"/>
    <col min="11" max="11" width="8.625" customWidth="1"/>
  </cols>
  <sheetData>
    <row r="1" spans="1:9">
      <c r="A1" s="388" t="s">
        <v>629</v>
      </c>
      <c r="B1" s="389"/>
      <c r="C1" s="389"/>
      <c r="D1" s="388"/>
      <c r="E1" s="388"/>
      <c r="F1" s="388"/>
      <c r="G1" s="388"/>
      <c r="H1" s="388"/>
      <c r="I1" s="388"/>
    </row>
    <row r="2" spans="1:9">
      <c r="A2" s="94"/>
      <c r="B2" s="390"/>
      <c r="C2" s="390"/>
      <c r="D2" s="94"/>
      <c r="E2" s="94"/>
      <c r="F2" s="94"/>
      <c r="G2" s="94"/>
      <c r="H2" s="388"/>
      <c r="I2" s="388"/>
    </row>
    <row r="3" spans="1:9">
      <c r="A3" s="7" t="s">
        <v>1</v>
      </c>
      <c r="B3" s="7" t="s">
        <v>444</v>
      </c>
      <c r="C3" s="7" t="s">
        <v>445</v>
      </c>
      <c r="D3" s="7" t="s">
        <v>159</v>
      </c>
      <c r="E3" s="7" t="s">
        <v>160</v>
      </c>
      <c r="F3" s="7" t="s">
        <v>446</v>
      </c>
      <c r="G3" s="7"/>
      <c r="H3" s="7" t="s">
        <v>447</v>
      </c>
      <c r="I3" s="7"/>
    </row>
    <row r="4" spans="1:9">
      <c r="A4" s="7"/>
      <c r="B4" s="7"/>
      <c r="C4" s="7"/>
      <c r="D4" s="7"/>
      <c r="E4" s="7"/>
      <c r="F4" s="7" t="s">
        <v>448</v>
      </c>
      <c r="G4" s="7" t="s">
        <v>449</v>
      </c>
      <c r="H4" s="7" t="s">
        <v>448</v>
      </c>
      <c r="I4" s="7" t="s">
        <v>449</v>
      </c>
    </row>
    <row r="5" spans="1:11">
      <c r="A5" s="5"/>
      <c r="B5" s="391" t="s">
        <v>80</v>
      </c>
      <c r="C5" s="391"/>
      <c r="D5" s="392"/>
      <c r="E5" s="393"/>
      <c r="F5" s="5"/>
      <c r="G5" s="394"/>
      <c r="H5" s="395">
        <f>H6+H29+H52</f>
        <v>23441.94416</v>
      </c>
      <c r="I5" s="395">
        <f>I6+I29+I52</f>
        <v>227874.812761584</v>
      </c>
      <c r="J5" s="416">
        <f>SUM(J8:J84)</f>
        <v>23441.94416</v>
      </c>
      <c r="K5" s="416">
        <f>SUM(K8:K84)</f>
        <v>227874.812761584</v>
      </c>
    </row>
    <row r="6" spans="1:11">
      <c r="A6" s="396" t="s">
        <v>34</v>
      </c>
      <c r="B6" s="397" t="s">
        <v>81</v>
      </c>
      <c r="C6" s="397" t="s">
        <v>248</v>
      </c>
      <c r="D6" s="396"/>
      <c r="E6" s="396"/>
      <c r="F6" s="5"/>
      <c r="G6" s="395"/>
      <c r="H6" s="395">
        <f>H7</f>
        <v>8135</v>
      </c>
      <c r="I6" s="395">
        <f>I7</f>
        <v>88300.3055</v>
      </c>
      <c r="J6" s="417"/>
      <c r="K6" s="417"/>
    </row>
    <row r="7" spans="1:11">
      <c r="A7" s="398">
        <v>1</v>
      </c>
      <c r="B7" s="399" t="s">
        <v>247</v>
      </c>
      <c r="C7" s="400"/>
      <c r="D7" s="398"/>
      <c r="E7" s="398"/>
      <c r="F7" s="5"/>
      <c r="G7" s="394"/>
      <c r="H7" s="394">
        <f>SUM(H8:H28)</f>
        <v>8135</v>
      </c>
      <c r="I7" s="394">
        <f>SUM(I8:I28)</f>
        <v>88300.3055</v>
      </c>
      <c r="J7" s="62"/>
      <c r="K7" s="62"/>
    </row>
    <row r="8" spans="1:11">
      <c r="A8" s="398"/>
      <c r="B8" s="399" t="s">
        <v>493</v>
      </c>
      <c r="C8" s="401"/>
      <c r="D8" s="7"/>
      <c r="E8" s="123"/>
      <c r="F8" s="90"/>
      <c r="G8" s="394"/>
      <c r="H8" s="394"/>
      <c r="I8" s="394"/>
      <c r="J8" s="416">
        <f t="shared" ref="J8:J52" si="0">E8*F8</f>
        <v>0</v>
      </c>
      <c r="K8" s="62">
        <f t="shared" ref="K8:K27" si="1">E8*G8</f>
        <v>0</v>
      </c>
    </row>
    <row r="9" ht="36" spans="1:11">
      <c r="A9" s="398"/>
      <c r="B9" s="402" t="s">
        <v>481</v>
      </c>
      <c r="C9" s="403" t="s">
        <v>494</v>
      </c>
      <c r="D9" s="404" t="s">
        <v>453</v>
      </c>
      <c r="E9" s="404">
        <v>1</v>
      </c>
      <c r="F9" s="90">
        <f t="shared" ref="F9:F25" si="2">G9*0.1</f>
        <v>315</v>
      </c>
      <c r="G9" s="394">
        <f>安装概算核!G44</f>
        <v>3150</v>
      </c>
      <c r="H9" s="394">
        <f t="shared" ref="H9:H25" si="3">E9*F9</f>
        <v>315</v>
      </c>
      <c r="I9" s="394">
        <f t="shared" ref="I9:I25" si="4">E9*G9</f>
        <v>3150</v>
      </c>
      <c r="J9" s="416">
        <f t="shared" si="0"/>
        <v>315</v>
      </c>
      <c r="K9" s="62">
        <f t="shared" si="1"/>
        <v>3150</v>
      </c>
    </row>
    <row r="10" spans="1:11">
      <c r="A10" s="398"/>
      <c r="B10" s="402" t="s">
        <v>454</v>
      </c>
      <c r="C10" s="403" t="s">
        <v>455</v>
      </c>
      <c r="D10" s="404" t="s">
        <v>453</v>
      </c>
      <c r="E10" s="404">
        <v>1</v>
      </c>
      <c r="F10" s="90">
        <f t="shared" si="2"/>
        <v>60</v>
      </c>
      <c r="G10" s="394">
        <f>安装概算核!G45</f>
        <v>600</v>
      </c>
      <c r="H10" s="394">
        <f t="shared" si="3"/>
        <v>60</v>
      </c>
      <c r="I10" s="394">
        <f t="shared" si="4"/>
        <v>600</v>
      </c>
      <c r="J10" s="416">
        <f t="shared" si="0"/>
        <v>60</v>
      </c>
      <c r="K10" s="62">
        <f t="shared" si="1"/>
        <v>600</v>
      </c>
    </row>
    <row r="11" spans="1:11">
      <c r="A11" s="398"/>
      <c r="B11" s="402" t="s">
        <v>456</v>
      </c>
      <c r="C11" s="403" t="s">
        <v>457</v>
      </c>
      <c r="D11" s="404" t="s">
        <v>453</v>
      </c>
      <c r="E11" s="404">
        <v>1</v>
      </c>
      <c r="F11" s="90">
        <f t="shared" si="2"/>
        <v>690</v>
      </c>
      <c r="G11" s="394">
        <f>安装概算核!G46</f>
        <v>6900</v>
      </c>
      <c r="H11" s="394">
        <f t="shared" si="3"/>
        <v>690</v>
      </c>
      <c r="I11" s="394">
        <f t="shared" si="4"/>
        <v>6900</v>
      </c>
      <c r="J11" s="416">
        <f t="shared" si="0"/>
        <v>690</v>
      </c>
      <c r="K11" s="62">
        <f t="shared" si="1"/>
        <v>6900</v>
      </c>
    </row>
    <row r="12" spans="1:11">
      <c r="A12" s="398"/>
      <c r="B12" s="402" t="s">
        <v>458</v>
      </c>
      <c r="C12" s="403" t="s">
        <v>483</v>
      </c>
      <c r="D12" s="404" t="s">
        <v>453</v>
      </c>
      <c r="E12" s="404">
        <v>1</v>
      </c>
      <c r="F12" s="90">
        <f t="shared" si="2"/>
        <v>36</v>
      </c>
      <c r="G12" s="394">
        <f>安装概算核!G47</f>
        <v>360</v>
      </c>
      <c r="H12" s="394">
        <f t="shared" si="3"/>
        <v>36</v>
      </c>
      <c r="I12" s="394">
        <f t="shared" si="4"/>
        <v>360</v>
      </c>
      <c r="J12" s="416">
        <f t="shared" si="0"/>
        <v>36</v>
      </c>
      <c r="K12" s="62">
        <f t="shared" si="1"/>
        <v>360</v>
      </c>
    </row>
    <row r="13" spans="1:11">
      <c r="A13" s="398"/>
      <c r="B13" s="402" t="s">
        <v>459</v>
      </c>
      <c r="C13" s="403" t="s">
        <v>484</v>
      </c>
      <c r="D13" s="404" t="s">
        <v>453</v>
      </c>
      <c r="E13" s="404">
        <v>1</v>
      </c>
      <c r="F13" s="90">
        <f t="shared" si="2"/>
        <v>640</v>
      </c>
      <c r="G13" s="394">
        <f>安装概算核!G48</f>
        <v>6400</v>
      </c>
      <c r="H13" s="394">
        <f t="shared" si="3"/>
        <v>640</v>
      </c>
      <c r="I13" s="394">
        <f t="shared" si="4"/>
        <v>6400</v>
      </c>
      <c r="J13" s="416">
        <f t="shared" si="0"/>
        <v>640</v>
      </c>
      <c r="K13" s="62">
        <f t="shared" si="1"/>
        <v>6400</v>
      </c>
    </row>
    <row r="14" spans="1:11">
      <c r="A14" s="398"/>
      <c r="B14" s="402" t="s">
        <v>485</v>
      </c>
      <c r="C14" s="403" t="s">
        <v>486</v>
      </c>
      <c r="D14" s="404" t="s">
        <v>305</v>
      </c>
      <c r="E14" s="404">
        <v>1</v>
      </c>
      <c r="F14" s="90">
        <f t="shared" si="2"/>
        <v>1200</v>
      </c>
      <c r="G14" s="394">
        <f>安装概算核!G49</f>
        <v>12000</v>
      </c>
      <c r="H14" s="394">
        <f t="shared" si="3"/>
        <v>1200</v>
      </c>
      <c r="I14" s="394">
        <f t="shared" si="4"/>
        <v>12000</v>
      </c>
      <c r="J14" s="416">
        <f t="shared" si="0"/>
        <v>1200</v>
      </c>
      <c r="K14" s="62">
        <f t="shared" si="1"/>
        <v>12000</v>
      </c>
    </row>
    <row r="15" spans="1:11">
      <c r="A15" s="398"/>
      <c r="B15" s="402" t="s">
        <v>462</v>
      </c>
      <c r="C15" s="403" t="s">
        <v>487</v>
      </c>
      <c r="D15" s="404" t="s">
        <v>453</v>
      </c>
      <c r="E15" s="404">
        <v>1</v>
      </c>
      <c r="F15" s="90">
        <f t="shared" si="2"/>
        <v>155</v>
      </c>
      <c r="G15" s="394">
        <f>安装概算核!G50</f>
        <v>1550</v>
      </c>
      <c r="H15" s="394">
        <f t="shared" si="3"/>
        <v>155</v>
      </c>
      <c r="I15" s="394">
        <f t="shared" si="4"/>
        <v>1550</v>
      </c>
      <c r="J15" s="416">
        <f t="shared" si="0"/>
        <v>155</v>
      </c>
      <c r="K15" s="62">
        <f t="shared" si="1"/>
        <v>1550</v>
      </c>
    </row>
    <row r="16" spans="1:11">
      <c r="A16" s="398"/>
      <c r="B16" s="402" t="s">
        <v>464</v>
      </c>
      <c r="C16" s="403" t="s">
        <v>488</v>
      </c>
      <c r="D16" s="404" t="s">
        <v>453</v>
      </c>
      <c r="E16" s="404">
        <v>1</v>
      </c>
      <c r="F16" s="90">
        <f t="shared" si="2"/>
        <v>36</v>
      </c>
      <c r="G16" s="394">
        <f>安装概算核!G51</f>
        <v>360</v>
      </c>
      <c r="H16" s="394">
        <f t="shared" si="3"/>
        <v>36</v>
      </c>
      <c r="I16" s="394">
        <f t="shared" si="4"/>
        <v>360</v>
      </c>
      <c r="J16" s="416">
        <f t="shared" si="0"/>
        <v>36</v>
      </c>
      <c r="K16" s="62">
        <f t="shared" si="1"/>
        <v>360</v>
      </c>
    </row>
    <row r="17" spans="1:11">
      <c r="A17" s="398"/>
      <c r="B17" s="402" t="s">
        <v>466</v>
      </c>
      <c r="C17" s="403" t="s">
        <v>489</v>
      </c>
      <c r="D17" s="404" t="s">
        <v>453</v>
      </c>
      <c r="E17" s="404">
        <v>1</v>
      </c>
      <c r="F17" s="90">
        <f t="shared" si="2"/>
        <v>60</v>
      </c>
      <c r="G17" s="394">
        <f>安装概算核!G52</f>
        <v>600</v>
      </c>
      <c r="H17" s="394">
        <f t="shared" si="3"/>
        <v>60</v>
      </c>
      <c r="I17" s="394">
        <f t="shared" si="4"/>
        <v>600</v>
      </c>
      <c r="J17" s="416">
        <f t="shared" si="0"/>
        <v>60</v>
      </c>
      <c r="K17" s="62">
        <f t="shared" si="1"/>
        <v>600</v>
      </c>
    </row>
    <row r="18" spans="1:11">
      <c r="A18" s="398"/>
      <c r="B18" s="402" t="s">
        <v>468</v>
      </c>
      <c r="C18" s="403" t="s">
        <v>490</v>
      </c>
      <c r="D18" s="404" t="s">
        <v>305</v>
      </c>
      <c r="E18" s="404">
        <v>1</v>
      </c>
      <c r="F18" s="90">
        <f t="shared" si="2"/>
        <v>79</v>
      </c>
      <c r="G18" s="394">
        <f>安装概算核!G53</f>
        <v>790</v>
      </c>
      <c r="H18" s="394">
        <f t="shared" si="3"/>
        <v>79</v>
      </c>
      <c r="I18" s="394">
        <f t="shared" si="4"/>
        <v>790</v>
      </c>
      <c r="J18" s="416">
        <f t="shared" si="0"/>
        <v>79</v>
      </c>
      <c r="K18" s="62">
        <f t="shared" si="1"/>
        <v>790</v>
      </c>
    </row>
    <row r="19" spans="1:11">
      <c r="A19" s="398"/>
      <c r="B19" s="402" t="s">
        <v>470</v>
      </c>
      <c r="C19" s="403" t="s">
        <v>487</v>
      </c>
      <c r="D19" s="404" t="s">
        <v>453</v>
      </c>
      <c r="E19" s="404">
        <v>1</v>
      </c>
      <c r="F19" s="90">
        <f t="shared" si="2"/>
        <v>550</v>
      </c>
      <c r="G19" s="394">
        <f>安装概算核!G54</f>
        <v>5500</v>
      </c>
      <c r="H19" s="394">
        <f t="shared" si="3"/>
        <v>550</v>
      </c>
      <c r="I19" s="394">
        <f t="shared" si="4"/>
        <v>5500</v>
      </c>
      <c r="J19" s="416">
        <f t="shared" si="0"/>
        <v>550</v>
      </c>
      <c r="K19" s="62">
        <f t="shared" si="1"/>
        <v>5500</v>
      </c>
    </row>
    <row r="20" spans="1:11">
      <c r="A20" s="398"/>
      <c r="B20" s="402" t="s">
        <v>464</v>
      </c>
      <c r="C20" s="403" t="s">
        <v>491</v>
      </c>
      <c r="D20" s="404" t="s">
        <v>453</v>
      </c>
      <c r="E20" s="404">
        <v>1</v>
      </c>
      <c r="F20" s="90">
        <f t="shared" si="2"/>
        <v>36</v>
      </c>
      <c r="G20" s="394">
        <f>安装概算核!G55</f>
        <v>360</v>
      </c>
      <c r="H20" s="394">
        <f t="shared" si="3"/>
        <v>36</v>
      </c>
      <c r="I20" s="394">
        <f t="shared" si="4"/>
        <v>360</v>
      </c>
      <c r="J20" s="416">
        <f t="shared" si="0"/>
        <v>36</v>
      </c>
      <c r="K20" s="62">
        <f t="shared" si="1"/>
        <v>360</v>
      </c>
    </row>
    <row r="21" spans="1:11">
      <c r="A21" s="398"/>
      <c r="B21" s="402" t="s">
        <v>472</v>
      </c>
      <c r="C21" s="403" t="s">
        <v>473</v>
      </c>
      <c r="D21" s="404" t="s">
        <v>453</v>
      </c>
      <c r="E21" s="404">
        <v>1</v>
      </c>
      <c r="F21" s="90">
        <f t="shared" si="2"/>
        <v>1500</v>
      </c>
      <c r="G21" s="394">
        <f>安装概算核!G56</f>
        <v>15000</v>
      </c>
      <c r="H21" s="394">
        <f t="shared" si="3"/>
        <v>1500</v>
      </c>
      <c r="I21" s="394">
        <f t="shared" si="4"/>
        <v>15000</v>
      </c>
      <c r="J21" s="416">
        <f t="shared" si="0"/>
        <v>1500</v>
      </c>
      <c r="K21" s="62">
        <f t="shared" si="1"/>
        <v>15000</v>
      </c>
    </row>
    <row r="22" ht="24" spans="1:11">
      <c r="A22" s="398"/>
      <c r="B22" s="402" t="s">
        <v>474</v>
      </c>
      <c r="C22" s="403" t="s">
        <v>475</v>
      </c>
      <c r="D22" s="404" t="s">
        <v>453</v>
      </c>
      <c r="E22" s="404">
        <v>2</v>
      </c>
      <c r="F22" s="90">
        <f t="shared" si="2"/>
        <v>1050</v>
      </c>
      <c r="G22" s="394">
        <f>安装概算核!G57</f>
        <v>10500</v>
      </c>
      <c r="H22" s="394">
        <f t="shared" si="3"/>
        <v>2100</v>
      </c>
      <c r="I22" s="394">
        <f t="shared" si="4"/>
        <v>21000</v>
      </c>
      <c r="J22" s="416">
        <f t="shared" si="0"/>
        <v>2100</v>
      </c>
      <c r="K22" s="62">
        <f t="shared" si="1"/>
        <v>21000</v>
      </c>
    </row>
    <row r="23" spans="1:11">
      <c r="A23" s="398"/>
      <c r="B23" s="402" t="s">
        <v>476</v>
      </c>
      <c r="C23" s="403" t="s">
        <v>477</v>
      </c>
      <c r="D23" s="404" t="s">
        <v>453</v>
      </c>
      <c r="E23" s="404">
        <v>2</v>
      </c>
      <c r="F23" s="90">
        <f t="shared" si="2"/>
        <v>256</v>
      </c>
      <c r="G23" s="394">
        <f>安装概算核!G58</f>
        <v>2560</v>
      </c>
      <c r="H23" s="394">
        <f t="shared" si="3"/>
        <v>512</v>
      </c>
      <c r="I23" s="394">
        <f t="shared" si="4"/>
        <v>5120</v>
      </c>
      <c r="J23" s="416">
        <f t="shared" si="0"/>
        <v>512</v>
      </c>
      <c r="K23" s="62">
        <f t="shared" si="1"/>
        <v>5120</v>
      </c>
    </row>
    <row r="24" spans="1:11">
      <c r="A24" s="398"/>
      <c r="B24" s="405" t="s">
        <v>478</v>
      </c>
      <c r="C24" s="403" t="s">
        <v>479</v>
      </c>
      <c r="D24" s="404" t="s">
        <v>453</v>
      </c>
      <c r="E24" s="404">
        <v>1</v>
      </c>
      <c r="F24" s="90">
        <f t="shared" si="2"/>
        <v>86</v>
      </c>
      <c r="G24" s="394">
        <f>安装概算核!G59</f>
        <v>860</v>
      </c>
      <c r="H24" s="394">
        <f t="shared" si="3"/>
        <v>86</v>
      </c>
      <c r="I24" s="394">
        <f t="shared" si="4"/>
        <v>860</v>
      </c>
      <c r="J24" s="416">
        <f t="shared" si="0"/>
        <v>86</v>
      </c>
      <c r="K24" s="62">
        <f t="shared" si="1"/>
        <v>860</v>
      </c>
    </row>
    <row r="25" spans="1:11">
      <c r="A25" s="398"/>
      <c r="B25" s="405" t="s">
        <v>478</v>
      </c>
      <c r="C25" s="403" t="s">
        <v>492</v>
      </c>
      <c r="D25" s="404" t="s">
        <v>453</v>
      </c>
      <c r="E25" s="404">
        <v>1</v>
      </c>
      <c r="F25" s="90">
        <f t="shared" si="2"/>
        <v>80</v>
      </c>
      <c r="G25" s="394">
        <f>安装概算核!G60</f>
        <v>800</v>
      </c>
      <c r="H25" s="394">
        <f t="shared" si="3"/>
        <v>80</v>
      </c>
      <c r="I25" s="394">
        <f t="shared" si="4"/>
        <v>800</v>
      </c>
      <c r="J25" s="416">
        <f t="shared" si="0"/>
        <v>80</v>
      </c>
      <c r="K25" s="62">
        <f t="shared" si="1"/>
        <v>800</v>
      </c>
    </row>
    <row r="26" spans="1:11">
      <c r="A26" s="123"/>
      <c r="B26" s="406" t="s">
        <v>495</v>
      </c>
      <c r="C26" s="406"/>
      <c r="D26" s="123"/>
      <c r="E26" s="123"/>
      <c r="F26" s="90"/>
      <c r="G26" s="394"/>
      <c r="H26" s="394"/>
      <c r="I26" s="394"/>
      <c r="J26" s="416">
        <f t="shared" si="0"/>
        <v>0</v>
      </c>
      <c r="K26" s="62">
        <f t="shared" si="1"/>
        <v>0</v>
      </c>
    </row>
    <row r="27" spans="1:11">
      <c r="A27" s="123"/>
      <c r="B27" s="407" t="s">
        <v>630</v>
      </c>
      <c r="C27" s="11" t="s">
        <v>497</v>
      </c>
      <c r="D27" s="7" t="s">
        <v>453</v>
      </c>
      <c r="E27" s="123">
        <v>4</v>
      </c>
      <c r="F27" s="90"/>
      <c r="G27" s="394">
        <v>150</v>
      </c>
      <c r="H27" s="394"/>
      <c r="I27" s="394">
        <f>E27*G27</f>
        <v>600</v>
      </c>
      <c r="J27" s="416">
        <f t="shared" si="0"/>
        <v>0</v>
      </c>
      <c r="K27" s="62">
        <f t="shared" si="1"/>
        <v>600</v>
      </c>
    </row>
    <row r="28" spans="1:11">
      <c r="A28" s="123"/>
      <c r="B28" s="408" t="s">
        <v>498</v>
      </c>
      <c r="C28" s="406"/>
      <c r="D28" s="123"/>
      <c r="E28" s="123"/>
      <c r="F28" s="5"/>
      <c r="G28" s="394"/>
      <c r="H28" s="394"/>
      <c r="I28" s="394">
        <f>SUM(I8:I27)*0.07749</f>
        <v>6350.3055</v>
      </c>
      <c r="J28" s="416">
        <f t="shared" si="0"/>
        <v>0</v>
      </c>
      <c r="K28" s="62">
        <f>I28</f>
        <v>6350.3055</v>
      </c>
    </row>
    <row r="29" spans="1:11">
      <c r="A29" s="5" t="s">
        <v>46</v>
      </c>
      <c r="B29" s="391" t="s">
        <v>82</v>
      </c>
      <c r="C29" s="391"/>
      <c r="D29" s="392"/>
      <c r="E29" s="5"/>
      <c r="F29" s="5"/>
      <c r="G29" s="394"/>
      <c r="H29" s="395">
        <f>H30</f>
        <v>7080.62416</v>
      </c>
      <c r="I29" s="395">
        <f>I30</f>
        <v>77370.507261584</v>
      </c>
      <c r="J29" s="416">
        <f t="shared" si="0"/>
        <v>0</v>
      </c>
      <c r="K29" s="62">
        <f t="shared" ref="K29:K36" si="5">E29*G29</f>
        <v>0</v>
      </c>
    </row>
    <row r="30" spans="1:11">
      <c r="A30" s="123">
        <v>1</v>
      </c>
      <c r="B30" s="399" t="s">
        <v>247</v>
      </c>
      <c r="C30" s="406"/>
      <c r="D30" s="123"/>
      <c r="E30" s="123"/>
      <c r="F30" s="123"/>
      <c r="G30" s="123"/>
      <c r="H30" s="409">
        <f>H31</f>
        <v>7080.62416</v>
      </c>
      <c r="I30" s="409">
        <f>I31</f>
        <v>77370.507261584</v>
      </c>
      <c r="J30" s="416">
        <f t="shared" si="0"/>
        <v>0</v>
      </c>
      <c r="K30" s="62">
        <f t="shared" si="5"/>
        <v>0</v>
      </c>
    </row>
    <row r="31" spans="1:11">
      <c r="A31" s="123">
        <v>1.3</v>
      </c>
      <c r="B31" s="406" t="s">
        <v>536</v>
      </c>
      <c r="C31" s="11"/>
      <c r="D31" s="7"/>
      <c r="E31" s="7"/>
      <c r="F31" s="123"/>
      <c r="G31" s="123"/>
      <c r="H31" s="409">
        <f>SUM(H32:H51)</f>
        <v>7080.62416</v>
      </c>
      <c r="I31" s="409">
        <f>SUM(I32:I51)</f>
        <v>77370.507261584</v>
      </c>
      <c r="J31" s="416">
        <f t="shared" si="0"/>
        <v>0</v>
      </c>
      <c r="K31" s="62">
        <f t="shared" si="5"/>
        <v>0</v>
      </c>
    </row>
    <row r="32" spans="1:11">
      <c r="A32" s="123"/>
      <c r="B32" s="11" t="s">
        <v>500</v>
      </c>
      <c r="C32" s="11" t="s">
        <v>501</v>
      </c>
      <c r="D32" s="7" t="s">
        <v>453</v>
      </c>
      <c r="E32" s="7">
        <v>1</v>
      </c>
      <c r="F32" s="123">
        <f>G32*0.1</f>
        <v>1330</v>
      </c>
      <c r="G32" s="123">
        <f>安装概算核!G107</f>
        <v>13300</v>
      </c>
      <c r="H32" s="409">
        <f>E32*F32</f>
        <v>1330</v>
      </c>
      <c r="I32" s="409">
        <f>E32*G32</f>
        <v>13300</v>
      </c>
      <c r="J32" s="416">
        <f t="shared" si="0"/>
        <v>1330</v>
      </c>
      <c r="K32" s="62">
        <f t="shared" si="5"/>
        <v>13300</v>
      </c>
    </row>
    <row r="33" spans="1:11">
      <c r="A33" s="123"/>
      <c r="B33" s="11" t="s">
        <v>502</v>
      </c>
      <c r="C33" s="11" t="s">
        <v>503</v>
      </c>
      <c r="D33" s="7" t="s">
        <v>504</v>
      </c>
      <c r="E33" s="7">
        <v>1</v>
      </c>
      <c r="F33" s="123">
        <f>G33*0.1</f>
        <v>1500</v>
      </c>
      <c r="G33" s="123">
        <f>安装概算核!G108</f>
        <v>15000</v>
      </c>
      <c r="H33" s="409">
        <f>E33*F33</f>
        <v>1500</v>
      </c>
      <c r="I33" s="409">
        <f>E33*G33</f>
        <v>15000</v>
      </c>
      <c r="J33" s="416">
        <f t="shared" si="0"/>
        <v>1500</v>
      </c>
      <c r="K33" s="62">
        <f t="shared" si="5"/>
        <v>15000</v>
      </c>
    </row>
    <row r="34" spans="1:11">
      <c r="A34" s="123"/>
      <c r="B34" s="11" t="s">
        <v>505</v>
      </c>
      <c r="C34" s="11" t="s">
        <v>537</v>
      </c>
      <c r="D34" s="7" t="s">
        <v>453</v>
      </c>
      <c r="E34" s="7">
        <v>1</v>
      </c>
      <c r="F34" s="123">
        <f>G34*0.1</f>
        <v>725</v>
      </c>
      <c r="G34" s="123">
        <f>安装概算核!G109</f>
        <v>7250</v>
      </c>
      <c r="H34" s="409">
        <f>E34*F34</f>
        <v>725</v>
      </c>
      <c r="I34" s="409">
        <f>E34*G34</f>
        <v>7250</v>
      </c>
      <c r="J34" s="416">
        <f t="shared" si="0"/>
        <v>725</v>
      </c>
      <c r="K34" s="62">
        <f t="shared" si="5"/>
        <v>7250</v>
      </c>
    </row>
    <row r="35" spans="1:11">
      <c r="A35" s="123"/>
      <c r="B35" s="366" t="s">
        <v>599</v>
      </c>
      <c r="C35" s="366" t="s">
        <v>631</v>
      </c>
      <c r="D35" s="384" t="s">
        <v>504</v>
      </c>
      <c r="E35" s="384">
        <v>1</v>
      </c>
      <c r="F35" s="123">
        <f>G35*0.1</f>
        <v>946</v>
      </c>
      <c r="G35" s="123">
        <f>安装概算核!G110</f>
        <v>9460</v>
      </c>
      <c r="H35" s="409">
        <f>E35*F35</f>
        <v>946</v>
      </c>
      <c r="I35" s="409">
        <f>E35*G35</f>
        <v>9460</v>
      </c>
      <c r="J35" s="416">
        <f t="shared" si="0"/>
        <v>946</v>
      </c>
      <c r="K35" s="62">
        <f t="shared" si="5"/>
        <v>9460</v>
      </c>
    </row>
    <row r="36" spans="1:11">
      <c r="A36" s="123"/>
      <c r="B36" s="366" t="s">
        <v>600</v>
      </c>
      <c r="C36" s="366" t="s">
        <v>601</v>
      </c>
      <c r="D36" s="384" t="s">
        <v>453</v>
      </c>
      <c r="E36" s="384">
        <v>1</v>
      </c>
      <c r="F36" s="123">
        <f>G36*0.1</f>
        <v>300</v>
      </c>
      <c r="G36" s="123">
        <v>3000</v>
      </c>
      <c r="H36" s="409">
        <f>E36*F36</f>
        <v>300</v>
      </c>
      <c r="I36" s="409">
        <f>E36*G36</f>
        <v>3000</v>
      </c>
      <c r="J36" s="416">
        <f t="shared" si="0"/>
        <v>300</v>
      </c>
      <c r="K36" s="62">
        <f t="shared" si="5"/>
        <v>3000</v>
      </c>
    </row>
    <row r="37" spans="1:11">
      <c r="A37" s="123"/>
      <c r="B37" s="11" t="s">
        <v>509</v>
      </c>
      <c r="C37" s="11" t="s">
        <v>510</v>
      </c>
      <c r="D37" s="7" t="s">
        <v>511</v>
      </c>
      <c r="E37" s="7">
        <v>40</v>
      </c>
      <c r="F37" s="298">
        <f t="shared" ref="F37:F49" si="6">G37*0.1</f>
        <v>11.233104</v>
      </c>
      <c r="G37" s="298">
        <f>安装概算核!G111</f>
        <v>112.33104</v>
      </c>
      <c r="H37" s="409">
        <f t="shared" ref="H37:H49" si="7">E37*F37</f>
        <v>449.32416</v>
      </c>
      <c r="I37" s="409">
        <f t="shared" ref="I37:I50" si="8">E37*G37</f>
        <v>4493.2416</v>
      </c>
      <c r="J37" s="416">
        <f t="shared" si="0"/>
        <v>449.32416</v>
      </c>
      <c r="K37" s="62">
        <f t="shared" ref="K37:K50" si="9">E37*G37</f>
        <v>4493.2416</v>
      </c>
    </row>
    <row r="38" spans="1:11">
      <c r="A38" s="123"/>
      <c r="B38" s="11" t="s">
        <v>509</v>
      </c>
      <c r="C38" s="11" t="s">
        <v>512</v>
      </c>
      <c r="D38" s="7" t="s">
        <v>511</v>
      </c>
      <c r="E38" s="7">
        <v>30</v>
      </c>
      <c r="F38" s="298">
        <f t="shared" si="6"/>
        <v>5.359312</v>
      </c>
      <c r="G38" s="298">
        <f>安装概算核!G112</f>
        <v>53.59312</v>
      </c>
      <c r="H38" s="409">
        <f t="shared" si="7"/>
        <v>160.77936</v>
      </c>
      <c r="I38" s="409">
        <f t="shared" si="8"/>
        <v>1607.7936</v>
      </c>
      <c r="J38" s="416">
        <f t="shared" si="0"/>
        <v>160.77936</v>
      </c>
      <c r="K38" s="62">
        <f t="shared" si="9"/>
        <v>1607.7936</v>
      </c>
    </row>
    <row r="39" spans="1:11">
      <c r="A39" s="123"/>
      <c r="B39" s="11" t="s">
        <v>509</v>
      </c>
      <c r="C39" s="11" t="s">
        <v>513</v>
      </c>
      <c r="D39" s="7" t="s">
        <v>511</v>
      </c>
      <c r="E39" s="7">
        <v>60</v>
      </c>
      <c r="F39" s="298">
        <f t="shared" si="6"/>
        <v>2.225344</v>
      </c>
      <c r="G39" s="298">
        <f>安装概算核!G113</f>
        <v>22.25344</v>
      </c>
      <c r="H39" s="409">
        <f t="shared" si="7"/>
        <v>133.52064</v>
      </c>
      <c r="I39" s="409">
        <f t="shared" si="8"/>
        <v>1335.2064</v>
      </c>
      <c r="J39" s="416">
        <f t="shared" si="0"/>
        <v>133.52064</v>
      </c>
      <c r="K39" s="62">
        <f t="shared" si="9"/>
        <v>1335.2064</v>
      </c>
    </row>
    <row r="40" spans="1:11">
      <c r="A40" s="123"/>
      <c r="B40" s="11" t="s">
        <v>514</v>
      </c>
      <c r="C40" s="11" t="s">
        <v>515</v>
      </c>
      <c r="D40" s="7" t="s">
        <v>511</v>
      </c>
      <c r="E40" s="7">
        <v>150</v>
      </c>
      <c r="F40" s="298">
        <f t="shared" si="6"/>
        <v>0.26</v>
      </c>
      <c r="G40" s="123">
        <f>安装概算核!G114</f>
        <v>2.6</v>
      </c>
      <c r="H40" s="409">
        <f t="shared" si="7"/>
        <v>39</v>
      </c>
      <c r="I40" s="409">
        <f t="shared" si="8"/>
        <v>390</v>
      </c>
      <c r="J40" s="416">
        <f t="shared" si="0"/>
        <v>39</v>
      </c>
      <c r="K40" s="62">
        <f t="shared" si="9"/>
        <v>390</v>
      </c>
    </row>
    <row r="41" spans="1:11">
      <c r="A41" s="123"/>
      <c r="B41" s="11" t="s">
        <v>514</v>
      </c>
      <c r="C41" s="11" t="s">
        <v>516</v>
      </c>
      <c r="D41" s="7" t="s">
        <v>511</v>
      </c>
      <c r="E41" s="7">
        <v>50</v>
      </c>
      <c r="F41" s="298">
        <f t="shared" si="6"/>
        <v>0.42</v>
      </c>
      <c r="G41" s="123">
        <f>安装概算核!G115</f>
        <v>4.2</v>
      </c>
      <c r="H41" s="409">
        <f t="shared" si="7"/>
        <v>21</v>
      </c>
      <c r="I41" s="409">
        <f t="shared" si="8"/>
        <v>210</v>
      </c>
      <c r="J41" s="416">
        <f t="shared" si="0"/>
        <v>21</v>
      </c>
      <c r="K41" s="62">
        <f t="shared" si="9"/>
        <v>210</v>
      </c>
    </row>
    <row r="42" spans="1:11">
      <c r="A42" s="123"/>
      <c r="B42" s="11" t="s">
        <v>517</v>
      </c>
      <c r="C42" s="11"/>
      <c r="D42" s="7" t="s">
        <v>518</v>
      </c>
      <c r="E42" s="7">
        <v>15</v>
      </c>
      <c r="F42" s="298">
        <f t="shared" si="6"/>
        <v>5</v>
      </c>
      <c r="G42" s="123">
        <f>安装概算核!G116</f>
        <v>50</v>
      </c>
      <c r="H42" s="409">
        <f t="shared" si="7"/>
        <v>75</v>
      </c>
      <c r="I42" s="409">
        <f t="shared" si="8"/>
        <v>750</v>
      </c>
      <c r="J42" s="416">
        <f t="shared" si="0"/>
        <v>75</v>
      </c>
      <c r="K42" s="62">
        <f t="shared" si="9"/>
        <v>750</v>
      </c>
    </row>
    <row r="43" spans="1:11">
      <c r="A43" s="123"/>
      <c r="B43" s="11" t="s">
        <v>519</v>
      </c>
      <c r="C43" s="11" t="s">
        <v>520</v>
      </c>
      <c r="D43" s="7" t="s">
        <v>511</v>
      </c>
      <c r="E43" s="7">
        <v>150</v>
      </c>
      <c r="F43" s="298">
        <f t="shared" si="6"/>
        <v>1.5</v>
      </c>
      <c r="G43" s="123">
        <f>安装概算核!G117</f>
        <v>15</v>
      </c>
      <c r="H43" s="409">
        <f t="shared" si="7"/>
        <v>225</v>
      </c>
      <c r="I43" s="409">
        <f t="shared" si="8"/>
        <v>2250</v>
      </c>
      <c r="J43" s="416">
        <f t="shared" si="0"/>
        <v>225</v>
      </c>
      <c r="K43" s="62">
        <f t="shared" si="9"/>
        <v>2250</v>
      </c>
    </row>
    <row r="44" spans="1:11">
      <c r="A44" s="123"/>
      <c r="B44" s="11" t="s">
        <v>521</v>
      </c>
      <c r="C44" s="11" t="s">
        <v>522</v>
      </c>
      <c r="D44" s="7" t="s">
        <v>511</v>
      </c>
      <c r="E44" s="7">
        <v>300</v>
      </c>
      <c r="F44" s="298">
        <f t="shared" si="6"/>
        <v>2</v>
      </c>
      <c r="G44" s="123">
        <f>安装概算核!G118</f>
        <v>20</v>
      </c>
      <c r="H44" s="409">
        <f t="shared" si="7"/>
        <v>600</v>
      </c>
      <c r="I44" s="409">
        <f t="shared" si="8"/>
        <v>6000</v>
      </c>
      <c r="J44" s="416">
        <f t="shared" si="0"/>
        <v>600</v>
      </c>
      <c r="K44" s="62">
        <f t="shared" si="9"/>
        <v>6000</v>
      </c>
    </row>
    <row r="45" spans="1:11">
      <c r="A45" s="123"/>
      <c r="B45" s="11" t="s">
        <v>523</v>
      </c>
      <c r="C45" s="11" t="s">
        <v>524</v>
      </c>
      <c r="D45" s="7" t="s">
        <v>525</v>
      </c>
      <c r="E45" s="7">
        <v>2</v>
      </c>
      <c r="F45" s="298">
        <f t="shared" si="6"/>
        <v>6.5</v>
      </c>
      <c r="G45" s="123">
        <f>安装概算核!G119</f>
        <v>65</v>
      </c>
      <c r="H45" s="409">
        <f t="shared" si="7"/>
        <v>13</v>
      </c>
      <c r="I45" s="409">
        <f t="shared" si="8"/>
        <v>130</v>
      </c>
      <c r="J45" s="416">
        <f t="shared" si="0"/>
        <v>13</v>
      </c>
      <c r="K45" s="62">
        <f t="shared" si="9"/>
        <v>130</v>
      </c>
    </row>
    <row r="46" spans="1:11">
      <c r="A46" s="123"/>
      <c r="B46" s="11" t="s">
        <v>526</v>
      </c>
      <c r="C46" s="11" t="s">
        <v>527</v>
      </c>
      <c r="D46" s="7" t="s">
        <v>511</v>
      </c>
      <c r="E46" s="7">
        <v>20</v>
      </c>
      <c r="F46" s="298">
        <f t="shared" si="6"/>
        <v>8.5</v>
      </c>
      <c r="G46" s="123">
        <f>安装概算核!G120</f>
        <v>85</v>
      </c>
      <c r="H46" s="409">
        <f t="shared" si="7"/>
        <v>170</v>
      </c>
      <c r="I46" s="409">
        <f t="shared" si="8"/>
        <v>1700</v>
      </c>
      <c r="J46" s="416">
        <f t="shared" si="0"/>
        <v>170</v>
      </c>
      <c r="K46" s="62">
        <f t="shared" si="9"/>
        <v>1700</v>
      </c>
    </row>
    <row r="47" spans="1:11">
      <c r="A47" s="123"/>
      <c r="B47" s="11" t="s">
        <v>526</v>
      </c>
      <c r="C47" s="11" t="s">
        <v>528</v>
      </c>
      <c r="D47" s="7" t="s">
        <v>511</v>
      </c>
      <c r="E47" s="7">
        <v>20</v>
      </c>
      <c r="F47" s="298">
        <f t="shared" si="6"/>
        <v>4.5</v>
      </c>
      <c r="G47" s="123">
        <f>安装概算核!G121</f>
        <v>45</v>
      </c>
      <c r="H47" s="409">
        <f t="shared" si="7"/>
        <v>90</v>
      </c>
      <c r="I47" s="409">
        <f t="shared" si="8"/>
        <v>900</v>
      </c>
      <c r="J47" s="416">
        <f t="shared" si="0"/>
        <v>90</v>
      </c>
      <c r="K47" s="62">
        <f t="shared" si="9"/>
        <v>900</v>
      </c>
    </row>
    <row r="48" spans="1:11">
      <c r="A48" s="123"/>
      <c r="B48" s="11" t="s">
        <v>526</v>
      </c>
      <c r="C48" s="11" t="s">
        <v>529</v>
      </c>
      <c r="D48" s="7" t="s">
        <v>511</v>
      </c>
      <c r="E48" s="7">
        <v>80</v>
      </c>
      <c r="F48" s="298">
        <f t="shared" si="6"/>
        <v>3</v>
      </c>
      <c r="G48" s="123">
        <f>安装概算核!G122</f>
        <v>30</v>
      </c>
      <c r="H48" s="409">
        <f t="shared" si="7"/>
        <v>240</v>
      </c>
      <c r="I48" s="409">
        <f t="shared" si="8"/>
        <v>2400</v>
      </c>
      <c r="J48" s="416">
        <f t="shared" si="0"/>
        <v>240</v>
      </c>
      <c r="K48" s="62">
        <f t="shared" si="9"/>
        <v>2400</v>
      </c>
    </row>
    <row r="49" spans="1:11">
      <c r="A49" s="123"/>
      <c r="B49" s="11" t="s">
        <v>530</v>
      </c>
      <c r="C49" s="11" t="s">
        <v>531</v>
      </c>
      <c r="D49" s="7" t="s">
        <v>511</v>
      </c>
      <c r="E49" s="7">
        <v>300</v>
      </c>
      <c r="F49" s="298">
        <f t="shared" si="6"/>
        <v>0.21</v>
      </c>
      <c r="G49" s="123">
        <f>安装概算核!G123</f>
        <v>2.1</v>
      </c>
      <c r="H49" s="409">
        <f t="shared" si="7"/>
        <v>63</v>
      </c>
      <c r="I49" s="409">
        <f t="shared" si="8"/>
        <v>630</v>
      </c>
      <c r="J49" s="416">
        <f t="shared" si="0"/>
        <v>63</v>
      </c>
      <c r="K49" s="62">
        <f t="shared" si="9"/>
        <v>630</v>
      </c>
    </row>
    <row r="50" spans="1:11">
      <c r="A50" s="123"/>
      <c r="B50" s="11" t="s">
        <v>532</v>
      </c>
      <c r="C50" s="11" t="s">
        <v>533</v>
      </c>
      <c r="D50" s="7" t="s">
        <v>305</v>
      </c>
      <c r="E50" s="7">
        <v>1</v>
      </c>
      <c r="F50" s="298"/>
      <c r="G50" s="409">
        <v>1000</v>
      </c>
      <c r="H50" s="409"/>
      <c r="I50" s="409">
        <f t="shared" si="8"/>
        <v>1000</v>
      </c>
      <c r="J50" s="416">
        <f t="shared" si="0"/>
        <v>0</v>
      </c>
      <c r="K50" s="62">
        <f t="shared" si="9"/>
        <v>1000</v>
      </c>
    </row>
    <row r="51" ht="18" customHeight="1" spans="1:11">
      <c r="A51" s="256"/>
      <c r="B51" s="11" t="s">
        <v>534</v>
      </c>
      <c r="C51" s="11"/>
      <c r="D51" s="7"/>
      <c r="E51" s="7"/>
      <c r="F51" s="123"/>
      <c r="G51" s="123"/>
      <c r="H51" s="409"/>
      <c r="I51" s="409">
        <f>SUM(I32:I50)*0.07749</f>
        <v>5564.265661584</v>
      </c>
      <c r="J51" s="416">
        <f t="shared" si="0"/>
        <v>0</v>
      </c>
      <c r="K51" s="62">
        <f>I51</f>
        <v>5564.265661584</v>
      </c>
    </row>
    <row r="52" ht="18" customHeight="1" spans="1:11">
      <c r="A52" s="5" t="s">
        <v>83</v>
      </c>
      <c r="B52" s="391" t="s">
        <v>84</v>
      </c>
      <c r="C52" s="391"/>
      <c r="D52" s="392"/>
      <c r="E52" s="393"/>
      <c r="F52" s="5"/>
      <c r="G52" s="394"/>
      <c r="H52" s="395">
        <f>H53+H68+H74</f>
        <v>8226.32</v>
      </c>
      <c r="I52" s="395">
        <f>I53+I68+I74</f>
        <v>62204</v>
      </c>
      <c r="J52" s="416">
        <f t="shared" si="0"/>
        <v>0</v>
      </c>
      <c r="K52" s="62">
        <f>E52*G52</f>
        <v>0</v>
      </c>
    </row>
    <row r="53" ht="18" customHeight="1" spans="1:11">
      <c r="A53" s="5" t="s">
        <v>539</v>
      </c>
      <c r="B53" s="391" t="s">
        <v>540</v>
      </c>
      <c r="C53" s="391"/>
      <c r="D53" s="392"/>
      <c r="E53" s="393"/>
      <c r="F53" s="5"/>
      <c r="G53" s="394"/>
      <c r="H53" s="395">
        <f>H54</f>
        <v>3902</v>
      </c>
      <c r="I53" s="395">
        <f>I54</f>
        <v>31900</v>
      </c>
      <c r="J53" s="416">
        <f t="shared" ref="J53:J59" si="10">E53*F53</f>
        <v>0</v>
      </c>
      <c r="K53" s="62">
        <f t="shared" ref="K53:K59" si="11">E53*G53</f>
        <v>0</v>
      </c>
    </row>
    <row r="54" ht="18" customHeight="1" spans="1:11">
      <c r="A54" s="7">
        <v>1</v>
      </c>
      <c r="B54" s="11" t="s">
        <v>493</v>
      </c>
      <c r="C54" s="11"/>
      <c r="D54" s="410"/>
      <c r="E54" s="7"/>
      <c r="F54" s="7"/>
      <c r="G54" s="394"/>
      <c r="H54" s="394">
        <f>H55+H63</f>
        <v>3902</v>
      </c>
      <c r="I54" s="394">
        <f>I55+I63</f>
        <v>31900</v>
      </c>
      <c r="J54" s="416">
        <f t="shared" si="10"/>
        <v>0</v>
      </c>
      <c r="K54" s="62">
        <f t="shared" si="11"/>
        <v>0</v>
      </c>
    </row>
    <row r="55" ht="18" customHeight="1" spans="1:11">
      <c r="A55" s="411">
        <v>1.1</v>
      </c>
      <c r="B55" s="412" t="s">
        <v>562</v>
      </c>
      <c r="C55" s="11"/>
      <c r="D55" s="411"/>
      <c r="E55" s="411"/>
      <c r="F55" s="7"/>
      <c r="G55" s="394"/>
      <c r="H55" s="394">
        <f>SUM(H56:H62)</f>
        <v>2474</v>
      </c>
      <c r="I55" s="394">
        <f>SUM(I56:I62)</f>
        <v>25300</v>
      </c>
      <c r="J55" s="416">
        <f t="shared" si="10"/>
        <v>0</v>
      </c>
      <c r="K55" s="62">
        <f t="shared" si="11"/>
        <v>0</v>
      </c>
    </row>
    <row r="56" ht="18" customHeight="1" spans="1:11">
      <c r="A56" s="413"/>
      <c r="B56" s="414" t="s">
        <v>542</v>
      </c>
      <c r="C56" s="406" t="s">
        <v>543</v>
      </c>
      <c r="D56" s="413" t="s">
        <v>453</v>
      </c>
      <c r="E56" s="413">
        <v>1</v>
      </c>
      <c r="F56" s="7">
        <f t="shared" ref="F56:F59" si="12">G56*0.08</f>
        <v>1200</v>
      </c>
      <c r="G56" s="394">
        <f>安装概算核!G154</f>
        <v>15000</v>
      </c>
      <c r="H56" s="394">
        <f t="shared" ref="H56:H62" si="13">E56*F56</f>
        <v>1200</v>
      </c>
      <c r="I56" s="394">
        <f t="shared" ref="I56:I62" si="14">E56*G56</f>
        <v>15000</v>
      </c>
      <c r="J56" s="416">
        <f t="shared" si="10"/>
        <v>1200</v>
      </c>
      <c r="K56" s="62">
        <f t="shared" si="11"/>
        <v>15000</v>
      </c>
    </row>
    <row r="57" ht="18" customHeight="1" spans="1:11">
      <c r="A57" s="413"/>
      <c r="B57" s="414" t="s">
        <v>544</v>
      </c>
      <c r="C57" s="414" t="s">
        <v>545</v>
      </c>
      <c r="D57" s="413" t="s">
        <v>305</v>
      </c>
      <c r="E57" s="413">
        <v>3</v>
      </c>
      <c r="F57" s="7">
        <f t="shared" si="12"/>
        <v>160</v>
      </c>
      <c r="G57" s="394">
        <f>安装概算核!G155</f>
        <v>2000</v>
      </c>
      <c r="H57" s="394">
        <f t="shared" si="13"/>
        <v>480</v>
      </c>
      <c r="I57" s="394">
        <f t="shared" si="14"/>
        <v>6000</v>
      </c>
      <c r="J57" s="416">
        <f t="shared" si="10"/>
        <v>480</v>
      </c>
      <c r="K57" s="62">
        <f t="shared" si="11"/>
        <v>6000</v>
      </c>
    </row>
    <row r="58" ht="18" customHeight="1" spans="1:11">
      <c r="A58" s="413"/>
      <c r="B58" s="366" t="s">
        <v>602</v>
      </c>
      <c r="C58" s="415" t="s">
        <v>603</v>
      </c>
      <c r="D58" s="384" t="s">
        <v>453</v>
      </c>
      <c r="E58" s="384">
        <v>1</v>
      </c>
      <c r="F58" s="7">
        <f t="shared" si="12"/>
        <v>176</v>
      </c>
      <c r="G58" s="394">
        <v>2200</v>
      </c>
      <c r="H58" s="394">
        <f t="shared" si="13"/>
        <v>176</v>
      </c>
      <c r="I58" s="394">
        <f t="shared" si="14"/>
        <v>2200</v>
      </c>
      <c r="J58" s="416">
        <f t="shared" si="10"/>
        <v>176</v>
      </c>
      <c r="K58" s="62">
        <f t="shared" si="11"/>
        <v>2200</v>
      </c>
    </row>
    <row r="59" ht="18" customHeight="1" spans="1:11">
      <c r="A59" s="413"/>
      <c r="B59" s="366" t="s">
        <v>604</v>
      </c>
      <c r="C59" s="415" t="s">
        <v>605</v>
      </c>
      <c r="D59" s="384" t="s">
        <v>453</v>
      </c>
      <c r="E59" s="384">
        <v>1</v>
      </c>
      <c r="F59" s="7">
        <f t="shared" si="12"/>
        <v>120</v>
      </c>
      <c r="G59" s="394">
        <v>1500</v>
      </c>
      <c r="H59" s="394">
        <f t="shared" si="13"/>
        <v>120</v>
      </c>
      <c r="I59" s="394">
        <f t="shared" si="14"/>
        <v>1500</v>
      </c>
      <c r="J59" s="416">
        <f t="shared" si="10"/>
        <v>120</v>
      </c>
      <c r="K59" s="62">
        <f t="shared" si="11"/>
        <v>1500</v>
      </c>
    </row>
    <row r="60" ht="18" customHeight="1" spans="1:11">
      <c r="A60" s="413"/>
      <c r="B60" s="11" t="s">
        <v>546</v>
      </c>
      <c r="C60" s="11" t="s">
        <v>547</v>
      </c>
      <c r="D60" s="413" t="s">
        <v>548</v>
      </c>
      <c r="E60" s="413">
        <v>1</v>
      </c>
      <c r="F60" s="7">
        <v>450</v>
      </c>
      <c r="G60" s="394"/>
      <c r="H60" s="394">
        <f t="shared" si="13"/>
        <v>450</v>
      </c>
      <c r="I60" s="394">
        <f t="shared" si="14"/>
        <v>0</v>
      </c>
      <c r="J60" s="416">
        <f t="shared" ref="J60:J96" si="15">E60*F60</f>
        <v>450</v>
      </c>
      <c r="K60" s="62">
        <f t="shared" ref="K60:K68" si="16">E60*G60</f>
        <v>0</v>
      </c>
    </row>
    <row r="61" ht="18" customHeight="1" spans="1:11">
      <c r="A61" s="413"/>
      <c r="B61" s="414" t="s">
        <v>549</v>
      </c>
      <c r="C61" s="414" t="s">
        <v>550</v>
      </c>
      <c r="D61" s="413" t="s">
        <v>336</v>
      </c>
      <c r="E61" s="413">
        <v>1</v>
      </c>
      <c r="F61" s="7">
        <f>G61*0.08</f>
        <v>24</v>
      </c>
      <c r="G61" s="394">
        <v>300</v>
      </c>
      <c r="H61" s="394">
        <f t="shared" si="13"/>
        <v>24</v>
      </c>
      <c r="I61" s="394">
        <f t="shared" si="14"/>
        <v>300</v>
      </c>
      <c r="J61" s="416">
        <f t="shared" si="15"/>
        <v>24</v>
      </c>
      <c r="K61" s="62">
        <f t="shared" si="16"/>
        <v>300</v>
      </c>
    </row>
    <row r="62" ht="18" customHeight="1" spans="1:11">
      <c r="A62" s="413"/>
      <c r="B62" s="414" t="s">
        <v>551</v>
      </c>
      <c r="C62" s="414" t="s">
        <v>552</v>
      </c>
      <c r="D62" s="413" t="s">
        <v>553</v>
      </c>
      <c r="E62" s="413">
        <v>1</v>
      </c>
      <c r="F62" s="7">
        <f>G62*0.08</f>
        <v>24</v>
      </c>
      <c r="G62" s="394">
        <v>300</v>
      </c>
      <c r="H62" s="394">
        <f t="shared" si="13"/>
        <v>24</v>
      </c>
      <c r="I62" s="394">
        <f t="shared" si="14"/>
        <v>300</v>
      </c>
      <c r="J62" s="416">
        <f t="shared" si="15"/>
        <v>24</v>
      </c>
      <c r="K62" s="62">
        <f t="shared" si="16"/>
        <v>300</v>
      </c>
    </row>
    <row r="63" ht="18" customHeight="1" spans="1:11">
      <c r="A63" s="7">
        <v>1.2</v>
      </c>
      <c r="B63" s="11" t="s">
        <v>563</v>
      </c>
      <c r="C63" s="11"/>
      <c r="D63" s="410"/>
      <c r="E63" s="7"/>
      <c r="F63" s="7"/>
      <c r="G63" s="394"/>
      <c r="H63" s="394">
        <f>SUM(H64:H67)</f>
        <v>1428</v>
      </c>
      <c r="I63" s="394">
        <f>SUM(I64:I67)</f>
        <v>6600</v>
      </c>
      <c r="J63" s="416">
        <f t="shared" si="15"/>
        <v>0</v>
      </c>
      <c r="K63" s="62">
        <f t="shared" si="16"/>
        <v>0</v>
      </c>
    </row>
    <row r="64" ht="18" customHeight="1" spans="1:11">
      <c r="A64" s="7"/>
      <c r="B64" s="414" t="s">
        <v>555</v>
      </c>
      <c r="C64" s="414" t="s">
        <v>556</v>
      </c>
      <c r="D64" s="413" t="s">
        <v>453</v>
      </c>
      <c r="E64" s="413">
        <v>1</v>
      </c>
      <c r="F64" s="7">
        <f t="shared" ref="F64:F67" si="17">G64*0.08</f>
        <v>240</v>
      </c>
      <c r="G64" s="394">
        <v>3000</v>
      </c>
      <c r="H64" s="394">
        <f t="shared" ref="H64:H67" si="18">E64*F64</f>
        <v>240</v>
      </c>
      <c r="I64" s="394">
        <f t="shared" ref="I64:I67" si="19">E64*G64</f>
        <v>3000</v>
      </c>
      <c r="J64" s="416">
        <f t="shared" si="15"/>
        <v>240</v>
      </c>
      <c r="K64" s="62">
        <f t="shared" si="16"/>
        <v>3000</v>
      </c>
    </row>
    <row r="65" ht="18" customHeight="1" spans="1:11">
      <c r="A65" s="7"/>
      <c r="B65" s="414" t="s">
        <v>555</v>
      </c>
      <c r="C65" s="414" t="s">
        <v>557</v>
      </c>
      <c r="D65" s="413" t="s">
        <v>453</v>
      </c>
      <c r="E65" s="413">
        <v>1</v>
      </c>
      <c r="F65" s="7">
        <f t="shared" si="17"/>
        <v>240</v>
      </c>
      <c r="G65" s="394">
        <v>3000</v>
      </c>
      <c r="H65" s="394">
        <f t="shared" si="18"/>
        <v>240</v>
      </c>
      <c r="I65" s="394">
        <f t="shared" si="19"/>
        <v>3000</v>
      </c>
      <c r="J65" s="416">
        <f t="shared" si="15"/>
        <v>240</v>
      </c>
      <c r="K65" s="62">
        <f t="shared" si="16"/>
        <v>3000</v>
      </c>
    </row>
    <row r="66" ht="18" customHeight="1" spans="1:11">
      <c r="A66" s="7"/>
      <c r="B66" s="414" t="s">
        <v>558</v>
      </c>
      <c r="C66" s="414" t="s">
        <v>559</v>
      </c>
      <c r="D66" s="413" t="s">
        <v>548</v>
      </c>
      <c r="E66" s="413">
        <v>2</v>
      </c>
      <c r="F66" s="7">
        <v>450</v>
      </c>
      <c r="G66" s="394"/>
      <c r="H66" s="394">
        <f t="shared" si="18"/>
        <v>900</v>
      </c>
      <c r="I66" s="394">
        <f t="shared" si="19"/>
        <v>0</v>
      </c>
      <c r="J66" s="416">
        <f t="shared" si="15"/>
        <v>900</v>
      </c>
      <c r="K66" s="62">
        <f t="shared" si="16"/>
        <v>0</v>
      </c>
    </row>
    <row r="67" ht="18" customHeight="1" spans="1:11">
      <c r="A67" s="7"/>
      <c r="B67" s="414" t="s">
        <v>551</v>
      </c>
      <c r="C67" s="414" t="s">
        <v>552</v>
      </c>
      <c r="D67" s="413" t="s">
        <v>553</v>
      </c>
      <c r="E67" s="413">
        <v>2</v>
      </c>
      <c r="F67" s="7">
        <f t="shared" si="17"/>
        <v>24</v>
      </c>
      <c r="G67" s="394">
        <v>300</v>
      </c>
      <c r="H67" s="394">
        <f t="shared" si="18"/>
        <v>48</v>
      </c>
      <c r="I67" s="394">
        <f t="shared" si="19"/>
        <v>600</v>
      </c>
      <c r="J67" s="416">
        <f t="shared" si="15"/>
        <v>48</v>
      </c>
      <c r="K67" s="62">
        <f t="shared" si="16"/>
        <v>600</v>
      </c>
    </row>
    <row r="68" ht="18" customHeight="1" spans="1:11">
      <c r="A68" s="5" t="s">
        <v>564</v>
      </c>
      <c r="B68" s="418" t="s">
        <v>565</v>
      </c>
      <c r="C68" s="406"/>
      <c r="D68" s="123"/>
      <c r="E68" s="123"/>
      <c r="F68" s="7"/>
      <c r="G68" s="394"/>
      <c r="H68" s="395">
        <f>H69</f>
        <v>2424.32</v>
      </c>
      <c r="I68" s="395">
        <f>I69</f>
        <v>30304</v>
      </c>
      <c r="J68" s="416">
        <f t="shared" si="15"/>
        <v>0</v>
      </c>
      <c r="K68" s="62">
        <f t="shared" si="16"/>
        <v>0</v>
      </c>
    </row>
    <row r="69" ht="18" customHeight="1" spans="1:11">
      <c r="A69" s="413">
        <v>1</v>
      </c>
      <c r="B69" s="414" t="s">
        <v>576</v>
      </c>
      <c r="C69" s="414"/>
      <c r="D69" s="413"/>
      <c r="E69" s="413"/>
      <c r="F69" s="90"/>
      <c r="G69" s="394"/>
      <c r="H69" s="394">
        <f>SUM(H70:H73)</f>
        <v>2424.32</v>
      </c>
      <c r="I69" s="394">
        <f>SUM(I70:I73)</f>
        <v>30304</v>
      </c>
      <c r="J69" s="416">
        <f t="shared" ref="J69:J84" si="20">E69*F69</f>
        <v>0</v>
      </c>
      <c r="K69" s="62">
        <f t="shared" ref="K69:K84" si="21">E69*G69</f>
        <v>0</v>
      </c>
    </row>
    <row r="70" ht="18" customHeight="1" spans="1:11">
      <c r="A70" s="413"/>
      <c r="B70" s="414" t="s">
        <v>567</v>
      </c>
      <c r="C70" s="414" t="s">
        <v>568</v>
      </c>
      <c r="D70" s="413" t="s">
        <v>453</v>
      </c>
      <c r="E70" s="413">
        <v>14</v>
      </c>
      <c r="F70" s="90">
        <f t="shared" ref="F70:F73" si="22">G70*0.08</f>
        <v>124.8</v>
      </c>
      <c r="G70" s="394">
        <f>安装概算核!G175</f>
        <v>1560</v>
      </c>
      <c r="H70" s="394">
        <f t="shared" ref="H70:H73" si="23">E70*F70</f>
        <v>1747.2</v>
      </c>
      <c r="I70" s="394">
        <f t="shared" ref="I70:I73" si="24">E70*G70</f>
        <v>21840</v>
      </c>
      <c r="J70" s="416">
        <f t="shared" si="20"/>
        <v>1747.2</v>
      </c>
      <c r="K70" s="62">
        <f t="shared" si="21"/>
        <v>21840</v>
      </c>
    </row>
    <row r="71" ht="18" customHeight="1" spans="1:11">
      <c r="A71" s="413"/>
      <c r="B71" s="414" t="s">
        <v>569</v>
      </c>
      <c r="C71" s="414" t="s">
        <v>570</v>
      </c>
      <c r="D71" s="413" t="s">
        <v>453</v>
      </c>
      <c r="E71" s="413">
        <v>12</v>
      </c>
      <c r="F71" s="90">
        <f t="shared" si="22"/>
        <v>33.6</v>
      </c>
      <c r="G71" s="394">
        <f>安装概算核!G176</f>
        <v>420</v>
      </c>
      <c r="H71" s="394">
        <f t="shared" si="23"/>
        <v>403.2</v>
      </c>
      <c r="I71" s="394">
        <f t="shared" si="24"/>
        <v>5040</v>
      </c>
      <c r="J71" s="416">
        <f t="shared" si="20"/>
        <v>403.2</v>
      </c>
      <c r="K71" s="62">
        <f t="shared" si="21"/>
        <v>5040</v>
      </c>
    </row>
    <row r="72" ht="18" customHeight="1" spans="1:11">
      <c r="A72" s="413"/>
      <c r="B72" s="414" t="s">
        <v>574</v>
      </c>
      <c r="C72" s="414" t="s">
        <v>570</v>
      </c>
      <c r="D72" s="413" t="s">
        <v>453</v>
      </c>
      <c r="E72" s="413">
        <v>2</v>
      </c>
      <c r="F72" s="90">
        <f t="shared" si="22"/>
        <v>24.96</v>
      </c>
      <c r="G72" s="394">
        <f>安装概算核!G177</f>
        <v>312</v>
      </c>
      <c r="H72" s="394">
        <f t="shared" si="23"/>
        <v>49.92</v>
      </c>
      <c r="I72" s="394">
        <f t="shared" si="24"/>
        <v>624</v>
      </c>
      <c r="J72" s="416">
        <f t="shared" si="20"/>
        <v>49.92</v>
      </c>
      <c r="K72" s="62">
        <f t="shared" si="21"/>
        <v>624</v>
      </c>
    </row>
    <row r="73" ht="18" customHeight="1" spans="1:11">
      <c r="A73" s="413"/>
      <c r="B73" s="414" t="s">
        <v>571</v>
      </c>
      <c r="C73" s="414" t="s">
        <v>572</v>
      </c>
      <c r="D73" s="413" t="s">
        <v>305</v>
      </c>
      <c r="E73" s="413">
        <v>14</v>
      </c>
      <c r="F73" s="90">
        <f t="shared" si="22"/>
        <v>16</v>
      </c>
      <c r="G73" s="394">
        <f>安装概算核!G178</f>
        <v>200</v>
      </c>
      <c r="H73" s="394">
        <f t="shared" si="23"/>
        <v>224</v>
      </c>
      <c r="I73" s="394">
        <f t="shared" si="24"/>
        <v>2800</v>
      </c>
      <c r="J73" s="416">
        <f t="shared" si="20"/>
        <v>224</v>
      </c>
      <c r="K73" s="62">
        <f t="shared" si="21"/>
        <v>2800</v>
      </c>
    </row>
    <row r="74" ht="18" customHeight="1" spans="1:11">
      <c r="A74" s="5" t="s">
        <v>577</v>
      </c>
      <c r="B74" s="419" t="s">
        <v>578</v>
      </c>
      <c r="C74" s="420"/>
      <c r="D74" s="421"/>
      <c r="E74" s="421"/>
      <c r="F74" s="5"/>
      <c r="G74" s="395"/>
      <c r="H74" s="395">
        <f>SUM(H75:H84)</f>
        <v>1900</v>
      </c>
      <c r="I74" s="395"/>
      <c r="J74" s="416">
        <f t="shared" si="20"/>
        <v>0</v>
      </c>
      <c r="K74" s="62">
        <f t="shared" si="21"/>
        <v>0</v>
      </c>
    </row>
    <row r="75" ht="18" customHeight="1" spans="1:11">
      <c r="A75" s="7"/>
      <c r="B75" s="11" t="s">
        <v>579</v>
      </c>
      <c r="C75" s="11"/>
      <c r="D75" s="7" t="s">
        <v>336</v>
      </c>
      <c r="E75" s="7">
        <v>1</v>
      </c>
      <c r="F75" s="90">
        <v>200</v>
      </c>
      <c r="G75" s="394"/>
      <c r="H75" s="394">
        <f t="shared" ref="H75:H84" si="25">E75*F75</f>
        <v>200</v>
      </c>
      <c r="I75" s="394"/>
      <c r="J75" s="416">
        <f t="shared" si="20"/>
        <v>200</v>
      </c>
      <c r="K75" s="62">
        <f t="shared" si="21"/>
        <v>0</v>
      </c>
    </row>
    <row r="76" ht="18" customHeight="1" spans="1:11">
      <c r="A76" s="7"/>
      <c r="B76" s="11" t="s">
        <v>580</v>
      </c>
      <c r="C76" s="11"/>
      <c r="D76" s="7" t="s">
        <v>363</v>
      </c>
      <c r="E76" s="7">
        <v>1</v>
      </c>
      <c r="F76" s="90">
        <v>50</v>
      </c>
      <c r="G76" s="394"/>
      <c r="H76" s="394">
        <f t="shared" si="25"/>
        <v>50</v>
      </c>
      <c r="I76" s="394"/>
      <c r="J76" s="416">
        <f t="shared" si="20"/>
        <v>50</v>
      </c>
      <c r="K76" s="62">
        <f t="shared" si="21"/>
        <v>0</v>
      </c>
    </row>
    <row r="77" ht="18" customHeight="1" spans="1:11">
      <c r="A77" s="7"/>
      <c r="B77" s="11" t="s">
        <v>581</v>
      </c>
      <c r="C77" s="11"/>
      <c r="D77" s="7" t="s">
        <v>363</v>
      </c>
      <c r="E77" s="7">
        <v>2</v>
      </c>
      <c r="F77" s="90">
        <v>20</v>
      </c>
      <c r="G77" s="394"/>
      <c r="H77" s="394">
        <f t="shared" si="25"/>
        <v>40</v>
      </c>
      <c r="I77" s="394"/>
      <c r="J77" s="416">
        <f t="shared" si="20"/>
        <v>40</v>
      </c>
      <c r="K77" s="62">
        <f t="shared" si="21"/>
        <v>0</v>
      </c>
    </row>
    <row r="78" ht="18" customHeight="1" spans="1:11">
      <c r="A78" s="7"/>
      <c r="B78" s="11" t="s">
        <v>582</v>
      </c>
      <c r="C78" s="11"/>
      <c r="D78" s="7" t="s">
        <v>363</v>
      </c>
      <c r="E78" s="7">
        <v>1</v>
      </c>
      <c r="F78" s="90">
        <v>50</v>
      </c>
      <c r="G78" s="394"/>
      <c r="H78" s="394">
        <f t="shared" si="25"/>
        <v>50</v>
      </c>
      <c r="I78" s="394"/>
      <c r="J78" s="416">
        <f t="shared" si="20"/>
        <v>50</v>
      </c>
      <c r="K78" s="62">
        <f t="shared" si="21"/>
        <v>0</v>
      </c>
    </row>
    <row r="79" ht="18" customHeight="1" spans="1:11">
      <c r="A79" s="7"/>
      <c r="B79" s="11" t="s">
        <v>583</v>
      </c>
      <c r="C79" s="11"/>
      <c r="D79" s="7" t="s">
        <v>363</v>
      </c>
      <c r="E79" s="7">
        <v>1</v>
      </c>
      <c r="F79" s="90">
        <v>50</v>
      </c>
      <c r="G79" s="394"/>
      <c r="H79" s="394">
        <f t="shared" si="25"/>
        <v>50</v>
      </c>
      <c r="I79" s="394"/>
      <c r="J79" s="416">
        <f t="shared" si="20"/>
        <v>50</v>
      </c>
      <c r="K79" s="62">
        <f t="shared" si="21"/>
        <v>0</v>
      </c>
    </row>
    <row r="80" ht="18" customHeight="1" spans="1:11">
      <c r="A80" s="7"/>
      <c r="B80" s="11" t="s">
        <v>584</v>
      </c>
      <c r="C80" s="11"/>
      <c r="D80" s="7" t="s">
        <v>363</v>
      </c>
      <c r="E80" s="7">
        <v>14</v>
      </c>
      <c r="F80" s="90">
        <v>30</v>
      </c>
      <c r="G80" s="394"/>
      <c r="H80" s="394">
        <f t="shared" si="25"/>
        <v>420</v>
      </c>
      <c r="I80" s="394"/>
      <c r="J80" s="416">
        <f t="shared" si="20"/>
        <v>420</v>
      </c>
      <c r="K80" s="62">
        <f t="shared" si="21"/>
        <v>0</v>
      </c>
    </row>
    <row r="81" ht="18" customHeight="1" spans="1:11">
      <c r="A81" s="7"/>
      <c r="B81" s="11" t="s">
        <v>585</v>
      </c>
      <c r="C81" s="11"/>
      <c r="D81" s="7" t="s">
        <v>363</v>
      </c>
      <c r="E81" s="7"/>
      <c r="F81" s="90">
        <v>30</v>
      </c>
      <c r="G81" s="394"/>
      <c r="H81" s="394">
        <f t="shared" si="25"/>
        <v>0</v>
      </c>
      <c r="I81" s="394"/>
      <c r="J81" s="416">
        <f t="shared" si="20"/>
        <v>0</v>
      </c>
      <c r="K81" s="62">
        <f t="shared" si="21"/>
        <v>0</v>
      </c>
    </row>
    <row r="82" ht="18" customHeight="1" spans="1:11">
      <c r="A82" s="7"/>
      <c r="B82" s="11" t="s">
        <v>586</v>
      </c>
      <c r="C82" s="11"/>
      <c r="D82" s="7" t="s">
        <v>363</v>
      </c>
      <c r="E82" s="7">
        <v>2</v>
      </c>
      <c r="F82" s="90">
        <v>30</v>
      </c>
      <c r="G82" s="394"/>
      <c r="H82" s="394">
        <f t="shared" si="25"/>
        <v>60</v>
      </c>
      <c r="I82" s="395"/>
      <c r="J82" s="416">
        <f t="shared" si="20"/>
        <v>60</v>
      </c>
      <c r="K82" s="62">
        <f t="shared" si="21"/>
        <v>0</v>
      </c>
    </row>
    <row r="83" ht="18" customHeight="1" spans="1:11">
      <c r="A83" s="7"/>
      <c r="B83" s="11" t="s">
        <v>587</v>
      </c>
      <c r="C83" s="11"/>
      <c r="D83" s="7" t="s">
        <v>363</v>
      </c>
      <c r="E83" s="7">
        <v>3</v>
      </c>
      <c r="F83" s="90">
        <v>30</v>
      </c>
      <c r="G83" s="394"/>
      <c r="H83" s="394">
        <f t="shared" si="25"/>
        <v>90</v>
      </c>
      <c r="I83" s="395"/>
      <c r="J83" s="416">
        <f t="shared" si="20"/>
        <v>90</v>
      </c>
      <c r="K83" s="62">
        <f t="shared" si="21"/>
        <v>0</v>
      </c>
    </row>
    <row r="84" ht="18" customHeight="1" spans="1:11">
      <c r="A84" s="7"/>
      <c r="B84" s="11" t="s">
        <v>588</v>
      </c>
      <c r="C84" s="11"/>
      <c r="D84" s="7" t="s">
        <v>589</v>
      </c>
      <c r="E84" s="7">
        <v>188</v>
      </c>
      <c r="F84" s="90">
        <v>5</v>
      </c>
      <c r="G84" s="394"/>
      <c r="H84" s="394">
        <f t="shared" si="25"/>
        <v>940</v>
      </c>
      <c r="I84" s="395"/>
      <c r="J84" s="416">
        <f t="shared" si="20"/>
        <v>940</v>
      </c>
      <c r="K84" s="62">
        <f t="shared" si="21"/>
        <v>0</v>
      </c>
    </row>
    <row r="85" spans="1:11">
      <c r="A85" s="341"/>
      <c r="B85" s="422"/>
      <c r="C85" s="422"/>
      <c r="D85" s="341"/>
      <c r="E85" s="341"/>
      <c r="F85" s="423"/>
      <c r="G85" s="424"/>
      <c r="H85" s="424"/>
      <c r="I85" s="427"/>
      <c r="J85" s="416"/>
      <c r="K85" s="62"/>
    </row>
    <row r="86" spans="1:11">
      <c r="A86" s="256"/>
      <c r="B86" s="391" t="s">
        <v>108</v>
      </c>
      <c r="C86" s="391"/>
      <c r="D86" s="256"/>
      <c r="E86" s="425"/>
      <c r="F86" s="7"/>
      <c r="G86" s="426"/>
      <c r="H86" s="395">
        <f>H87</f>
        <v>7920</v>
      </c>
      <c r="I86" s="395">
        <f>I87</f>
        <v>0</v>
      </c>
      <c r="J86" s="62"/>
      <c r="K86" s="62"/>
    </row>
    <row r="87" spans="1:9">
      <c r="A87" s="398">
        <v>1</v>
      </c>
      <c r="B87" s="399" t="s">
        <v>493</v>
      </c>
      <c r="C87" s="406"/>
      <c r="D87" s="123"/>
      <c r="E87" s="123"/>
      <c r="F87" s="7"/>
      <c r="G87" s="7"/>
      <c r="H87" s="7">
        <f>H88+H89</f>
        <v>7920</v>
      </c>
      <c r="I87" s="7">
        <f>SUM(I88:I88)</f>
        <v>0</v>
      </c>
    </row>
    <row r="88" spans="1:9">
      <c r="A88" s="8"/>
      <c r="B88" s="406" t="s">
        <v>592</v>
      </c>
      <c r="C88" s="406" t="s">
        <v>591</v>
      </c>
      <c r="D88" s="123" t="s">
        <v>200</v>
      </c>
      <c r="E88" s="123">
        <v>0.63</v>
      </c>
      <c r="F88" s="7">
        <v>9000</v>
      </c>
      <c r="G88" s="8"/>
      <c r="H88" s="7">
        <f>E88*F88</f>
        <v>5670</v>
      </c>
      <c r="I88" s="8"/>
    </row>
    <row r="89" spans="1:9">
      <c r="A89" s="8"/>
      <c r="B89" s="406" t="s">
        <v>593</v>
      </c>
      <c r="C89" s="406" t="s">
        <v>591</v>
      </c>
      <c r="D89" s="123" t="s">
        <v>200</v>
      </c>
      <c r="E89" s="123">
        <v>0.25</v>
      </c>
      <c r="F89" s="7">
        <f>F88</f>
        <v>9000</v>
      </c>
      <c r="G89" s="8"/>
      <c r="H89" s="7">
        <f>E89*F89</f>
        <v>2250</v>
      </c>
      <c r="I89" s="8"/>
    </row>
    <row r="90" spans="1:9">
      <c r="A90" s="8"/>
      <c r="B90" s="11"/>
      <c r="C90" s="11"/>
      <c r="D90" s="7"/>
      <c r="E90" s="7"/>
      <c r="F90" s="7"/>
      <c r="G90" s="8"/>
      <c r="H90" s="7"/>
      <c r="I90" s="8"/>
    </row>
    <row r="91" spans="1:9">
      <c r="A91" s="8"/>
      <c r="B91" s="11"/>
      <c r="C91" s="11"/>
      <c r="D91" s="7"/>
      <c r="E91" s="7"/>
      <c r="F91" s="7"/>
      <c r="G91" s="8"/>
      <c r="H91" s="7"/>
      <c r="I91" s="8"/>
    </row>
    <row r="92" spans="1:9">
      <c r="A92" s="8"/>
      <c r="B92" s="11"/>
      <c r="C92" s="11"/>
      <c r="D92" s="7"/>
      <c r="E92" s="7"/>
      <c r="F92" s="7"/>
      <c r="G92" s="8"/>
      <c r="H92" s="7"/>
      <c r="I92" s="8"/>
    </row>
    <row r="93" spans="1:9">
      <c r="A93" s="8"/>
      <c r="B93" s="11"/>
      <c r="C93" s="11"/>
      <c r="D93" s="7"/>
      <c r="E93" s="7"/>
      <c r="F93" s="7"/>
      <c r="G93" s="8"/>
      <c r="H93" s="7"/>
      <c r="I93" s="8"/>
    </row>
    <row r="94" spans="1:9">
      <c r="A94" s="8"/>
      <c r="B94" s="11"/>
      <c r="C94" s="11"/>
      <c r="D94" s="7"/>
      <c r="E94" s="7"/>
      <c r="F94" s="7"/>
      <c r="G94" s="8"/>
      <c r="H94" s="7"/>
      <c r="I94" s="8"/>
    </row>
    <row r="95" spans="1:9">
      <c r="A95" s="8"/>
      <c r="B95" s="11"/>
      <c r="C95" s="11"/>
      <c r="D95" s="7"/>
      <c r="E95" s="7"/>
      <c r="F95" s="7"/>
      <c r="G95" s="8"/>
      <c r="H95" s="7"/>
      <c r="I95" s="8"/>
    </row>
    <row r="96" spans="1:9">
      <c r="A96" s="8"/>
      <c r="B96" s="11"/>
      <c r="C96" s="11"/>
      <c r="D96" s="7"/>
      <c r="E96" s="7"/>
      <c r="F96" s="7"/>
      <c r="G96" s="75"/>
      <c r="H96" s="75"/>
      <c r="I96" s="75"/>
    </row>
    <row r="97" spans="1:9">
      <c r="A97" s="8"/>
      <c r="B97" s="11"/>
      <c r="C97" s="11"/>
      <c r="D97" s="7"/>
      <c r="E97" s="7"/>
      <c r="F97" s="7"/>
      <c r="G97" s="75"/>
      <c r="H97" s="75"/>
      <c r="I97" s="75"/>
    </row>
  </sheetData>
  <mergeCells count="12">
    <mergeCell ref="F3:G3"/>
    <mergeCell ref="H3:I3"/>
    <mergeCell ref="B5:C5"/>
    <mergeCell ref="B69:C69"/>
    <mergeCell ref="B74:C74"/>
    <mergeCell ref="B86:C86"/>
    <mergeCell ref="A3:A4"/>
    <mergeCell ref="B3:B4"/>
    <mergeCell ref="C3:C4"/>
    <mergeCell ref="D3:D4"/>
    <mergeCell ref="E3:E4"/>
    <mergeCell ref="A1:I2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tabColor theme="0"/>
  </sheetPr>
  <dimension ref="A1:G189"/>
  <sheetViews>
    <sheetView zoomScale="110" zoomScaleNormal="110" topLeftCell="A28" workbookViewId="0">
      <selection activeCell="K4608" sqref="K4608"/>
    </sheetView>
  </sheetViews>
  <sheetFormatPr defaultColWidth="9" defaultRowHeight="16.5" customHeight="1" outlineLevelCol="6"/>
  <cols>
    <col min="1" max="1" width="7.375" customWidth="1"/>
    <col min="2" max="2" width="41.125" customWidth="1"/>
    <col min="3" max="3" width="10.875" customWidth="1"/>
    <col min="4" max="4" width="14.75" customWidth="1"/>
    <col min="6" max="6" width="10.5" customWidth="1"/>
  </cols>
  <sheetData>
    <row r="1" customHeight="1" spans="1:4">
      <c r="A1" s="93" t="s">
        <v>632</v>
      </c>
      <c r="B1" s="93"/>
      <c r="C1" s="93"/>
      <c r="D1" s="93"/>
    </row>
    <row r="2" customHeight="1" spans="1:4">
      <c r="A2" s="94"/>
      <c r="B2" s="94"/>
      <c r="C2" s="94"/>
      <c r="D2" s="94"/>
    </row>
    <row r="3" customHeight="1" spans="1:4">
      <c r="A3" s="67" t="s">
        <v>1</v>
      </c>
      <c r="B3" s="67" t="s">
        <v>633</v>
      </c>
      <c r="C3" s="67" t="s">
        <v>634</v>
      </c>
      <c r="D3" s="130" t="s">
        <v>635</v>
      </c>
    </row>
    <row r="4" customHeight="1" spans="1:4">
      <c r="A4" s="67"/>
      <c r="B4" s="67"/>
      <c r="C4" s="67"/>
      <c r="D4" s="131"/>
    </row>
    <row r="5" customHeight="1" spans="1:4">
      <c r="A5" s="67">
        <v>1</v>
      </c>
      <c r="B5" s="73" t="s">
        <v>636</v>
      </c>
      <c r="C5" s="82" t="s">
        <v>637</v>
      </c>
      <c r="D5" s="364">
        <f>新定额单价!L19</f>
        <v>329.450154865453</v>
      </c>
    </row>
    <row r="6" customHeight="1" spans="1:4">
      <c r="A6" s="67">
        <v>2</v>
      </c>
      <c r="B6" s="73" t="s">
        <v>638</v>
      </c>
      <c r="C6" s="82" t="s">
        <v>637</v>
      </c>
      <c r="D6" s="365">
        <f>新定额单价!F19</f>
        <v>962.685765841573</v>
      </c>
    </row>
    <row r="7" customHeight="1" spans="1:4">
      <c r="A7" s="67">
        <v>3</v>
      </c>
      <c r="B7" s="73" t="s">
        <v>639</v>
      </c>
      <c r="C7" s="82" t="s">
        <v>637</v>
      </c>
      <c r="D7" s="365">
        <f>新定额单价!F38</f>
        <v>1670.22001596661</v>
      </c>
    </row>
    <row r="8" customHeight="1" spans="1:4">
      <c r="A8" s="67">
        <v>4</v>
      </c>
      <c r="B8" s="73" t="s">
        <v>640</v>
      </c>
      <c r="C8" s="82" t="s">
        <v>637</v>
      </c>
      <c r="D8" s="34">
        <f>新定额单价!F171</f>
        <v>280.905866523567</v>
      </c>
    </row>
    <row r="9" customHeight="1" spans="1:4">
      <c r="A9" s="67">
        <v>5</v>
      </c>
      <c r="B9" s="73" t="s">
        <v>641</v>
      </c>
      <c r="C9" s="82" t="s">
        <v>637</v>
      </c>
      <c r="D9" s="34">
        <f>新定额单价!F193</f>
        <v>306.963036664667</v>
      </c>
    </row>
    <row r="10" customHeight="1" spans="1:4">
      <c r="A10" s="67">
        <v>6</v>
      </c>
      <c r="B10" s="73" t="s">
        <v>642</v>
      </c>
      <c r="C10" s="82" t="s">
        <v>637</v>
      </c>
      <c r="D10" s="34">
        <f>新定额单价!F104</f>
        <v>506.974240445672</v>
      </c>
    </row>
    <row r="11" customHeight="1" spans="1:4">
      <c r="A11" s="67">
        <v>7</v>
      </c>
      <c r="B11" s="73" t="s">
        <v>643</v>
      </c>
      <c r="C11" s="82" t="s">
        <v>637</v>
      </c>
      <c r="D11" s="34">
        <f>新定额单价!L126</f>
        <v>434.148945589341</v>
      </c>
    </row>
    <row r="12" customHeight="1" spans="1:4">
      <c r="A12" s="67">
        <v>8</v>
      </c>
      <c r="B12" s="73" t="s">
        <v>644</v>
      </c>
      <c r="C12" s="82" t="s">
        <v>637</v>
      </c>
      <c r="D12" s="34">
        <f>新定额单价!F148</f>
        <v>601.050270761791</v>
      </c>
    </row>
    <row r="13" customHeight="1" spans="1:4">
      <c r="A13" s="67">
        <v>9</v>
      </c>
      <c r="B13" s="73" t="s">
        <v>643</v>
      </c>
      <c r="C13" s="82" t="s">
        <v>637</v>
      </c>
      <c r="D13" s="34">
        <f>新定额单价!L126</f>
        <v>434.148945589341</v>
      </c>
    </row>
    <row r="14" customHeight="1" spans="1:4">
      <c r="A14" s="67">
        <v>10</v>
      </c>
      <c r="B14" s="73" t="s">
        <v>645</v>
      </c>
      <c r="C14" s="82" t="s">
        <v>637</v>
      </c>
      <c r="D14" s="34">
        <f>新定额单价!F126</f>
        <v>359.514496303857</v>
      </c>
    </row>
    <row r="15" customHeight="1" spans="1:7">
      <c r="A15" s="67">
        <v>11</v>
      </c>
      <c r="B15" s="73" t="s">
        <v>646</v>
      </c>
      <c r="C15" s="82" t="s">
        <v>637</v>
      </c>
      <c r="D15" s="34">
        <f>新定额单价!F60</f>
        <v>219.291369878667</v>
      </c>
      <c r="G15" s="78">
        <f>D8+D14</f>
        <v>640.420362827423</v>
      </c>
    </row>
    <row r="16" customHeight="1" spans="1:4">
      <c r="A16" s="67">
        <v>12</v>
      </c>
      <c r="B16" s="73" t="s">
        <v>647</v>
      </c>
      <c r="C16" s="82" t="s">
        <v>637</v>
      </c>
      <c r="D16" s="34">
        <f>新定额单价!F82</f>
        <v>315.635672314026</v>
      </c>
    </row>
    <row r="17" customHeight="1" spans="1:4">
      <c r="A17" s="67">
        <v>13</v>
      </c>
      <c r="B17" s="73" t="s">
        <v>648</v>
      </c>
      <c r="C17" s="82" t="s">
        <v>649</v>
      </c>
      <c r="D17" s="34">
        <f>新定额单价!L60</f>
        <v>63.254861681638</v>
      </c>
    </row>
    <row r="18" customHeight="1" spans="1:4">
      <c r="A18" s="67">
        <v>14</v>
      </c>
      <c r="B18" s="73" t="s">
        <v>650</v>
      </c>
      <c r="C18" s="82" t="s">
        <v>637</v>
      </c>
      <c r="D18" s="34">
        <f>新定额单价!F218</f>
        <v>826.859690751987</v>
      </c>
    </row>
    <row r="19" customHeight="1" spans="1:4">
      <c r="A19" s="67">
        <v>15</v>
      </c>
      <c r="B19" s="73" t="s">
        <v>651</v>
      </c>
      <c r="C19" s="82" t="s">
        <v>637</v>
      </c>
      <c r="D19" s="34">
        <f>新定额单价!F242</f>
        <v>915.967136570967</v>
      </c>
    </row>
    <row r="20" customHeight="1" spans="1:4">
      <c r="A20" s="67">
        <v>16</v>
      </c>
      <c r="B20" s="73" t="s">
        <v>652</v>
      </c>
      <c r="C20" s="82" t="s">
        <v>637</v>
      </c>
      <c r="D20" s="34">
        <f>新定额单价!F265</f>
        <v>1096.92379577259</v>
      </c>
    </row>
    <row r="21" customHeight="1" spans="1:4">
      <c r="A21" s="67">
        <v>17</v>
      </c>
      <c r="B21" s="73" t="s">
        <v>653</v>
      </c>
      <c r="C21" s="82" t="s">
        <v>637</v>
      </c>
      <c r="D21" s="34">
        <f>新定额单价!L265</f>
        <v>1227.15775504648</v>
      </c>
    </row>
    <row r="22" customHeight="1" spans="1:4">
      <c r="A22" s="67">
        <v>18</v>
      </c>
      <c r="B22" s="73" t="s">
        <v>654</v>
      </c>
      <c r="C22" s="82" t="s">
        <v>637</v>
      </c>
      <c r="D22" s="34">
        <f>新定额单价!F290</f>
        <v>1399.88911155712</v>
      </c>
    </row>
    <row r="23" customHeight="1" spans="1:4">
      <c r="A23" s="67">
        <v>19</v>
      </c>
      <c r="B23" s="73" t="s">
        <v>655</v>
      </c>
      <c r="C23" s="82" t="s">
        <v>637</v>
      </c>
      <c r="D23" s="34">
        <f>新定额单价!L290</f>
        <v>1597.29637614071</v>
      </c>
    </row>
    <row r="24" customHeight="1" spans="1:4">
      <c r="A24" s="67">
        <v>20</v>
      </c>
      <c r="B24" s="73" t="s">
        <v>656</v>
      </c>
      <c r="C24" s="82" t="s">
        <v>637</v>
      </c>
      <c r="D24" s="34">
        <f>新定额单价!F314</f>
        <v>1841.31368930653</v>
      </c>
    </row>
    <row r="25" customHeight="1" spans="1:4">
      <c r="A25" s="67">
        <v>21</v>
      </c>
      <c r="B25" s="73" t="s">
        <v>657</v>
      </c>
      <c r="C25" s="82" t="s">
        <v>637</v>
      </c>
      <c r="D25" s="34">
        <f>新定额单价!F339</f>
        <v>2005.81974312618</v>
      </c>
    </row>
    <row r="26" customHeight="1" spans="1:4">
      <c r="A26" s="67">
        <v>22</v>
      </c>
      <c r="B26" s="73" t="s">
        <v>658</v>
      </c>
      <c r="C26" s="82" t="s">
        <v>637</v>
      </c>
      <c r="D26" s="34">
        <f>新定额单价!L339</f>
        <v>2210.48456355239</v>
      </c>
    </row>
    <row r="27" customHeight="1" spans="1:4">
      <c r="A27" s="67">
        <v>23</v>
      </c>
      <c r="B27" s="73" t="s">
        <v>659</v>
      </c>
      <c r="C27" s="82" t="s">
        <v>637</v>
      </c>
      <c r="D27" s="34">
        <f>新定额单价!L314</f>
        <v>3275.52264650983</v>
      </c>
    </row>
    <row r="28" customHeight="1" spans="1:4">
      <c r="A28" s="67">
        <v>24</v>
      </c>
      <c r="B28" s="73" t="s">
        <v>660</v>
      </c>
      <c r="C28" s="82" t="s">
        <v>637</v>
      </c>
      <c r="D28" s="34">
        <f>20*0.48+D27/100</f>
        <v>42.3552264650983</v>
      </c>
    </row>
    <row r="29" customHeight="1" spans="1:4">
      <c r="A29" s="67">
        <v>25</v>
      </c>
      <c r="B29" s="73" t="s">
        <v>661</v>
      </c>
      <c r="C29" s="82" t="s">
        <v>637</v>
      </c>
      <c r="D29" s="34">
        <f>新定额单价!R314</f>
        <v>2972.29280931666</v>
      </c>
    </row>
    <row r="30" customHeight="1" spans="1:4">
      <c r="A30" s="67">
        <v>26</v>
      </c>
      <c r="B30" s="366" t="s">
        <v>662</v>
      </c>
      <c r="C30" s="367" t="s">
        <v>637</v>
      </c>
      <c r="D30" s="368">
        <f>新定额单价!F472</f>
        <v>709.932476766714</v>
      </c>
    </row>
    <row r="31" customHeight="1" spans="1:4">
      <c r="A31" s="67">
        <v>27</v>
      </c>
      <c r="B31" s="73" t="s">
        <v>663</v>
      </c>
      <c r="C31" s="82" t="s">
        <v>637</v>
      </c>
      <c r="D31" s="34">
        <f>新定额单价!F497</f>
        <v>1297.24899040303</v>
      </c>
    </row>
    <row r="32" customHeight="1" spans="1:4">
      <c r="A32" s="67">
        <v>28</v>
      </c>
      <c r="B32" s="73" t="s">
        <v>664</v>
      </c>
      <c r="C32" s="82" t="s">
        <v>637</v>
      </c>
      <c r="D32" s="34">
        <f>新定额单价!F541</f>
        <v>1620.44015756077</v>
      </c>
    </row>
    <row r="33" customHeight="1" spans="1:4">
      <c r="A33" s="67">
        <v>29</v>
      </c>
      <c r="B33" s="73" t="s">
        <v>665</v>
      </c>
      <c r="C33" s="82" t="s">
        <v>649</v>
      </c>
      <c r="D33" s="34">
        <f>新定额单价!F515</f>
        <v>129.995771865654</v>
      </c>
    </row>
    <row r="34" customHeight="1" spans="1:4">
      <c r="A34" s="67">
        <v>30</v>
      </c>
      <c r="B34" s="73" t="s">
        <v>666</v>
      </c>
      <c r="C34" s="82" t="s">
        <v>637</v>
      </c>
      <c r="D34" s="34">
        <f>新定额单价!F393</f>
        <v>617.193111109444</v>
      </c>
    </row>
    <row r="35" customHeight="1" spans="1:4">
      <c r="A35" s="67">
        <v>31</v>
      </c>
      <c r="B35" s="73" t="s">
        <v>667</v>
      </c>
      <c r="C35" s="82" t="s">
        <v>637</v>
      </c>
      <c r="D35" s="71">
        <f>新定额单价!F451</f>
        <v>2173.93043348213</v>
      </c>
    </row>
    <row r="36" customHeight="1" spans="1:4">
      <c r="A36" s="67">
        <v>32</v>
      </c>
      <c r="B36" s="73" t="s">
        <v>668</v>
      </c>
      <c r="C36" s="82" t="s">
        <v>637</v>
      </c>
      <c r="D36" s="71">
        <f>新定额单价!F623</f>
        <v>2001.85295926217</v>
      </c>
    </row>
    <row r="37" customHeight="1" spans="1:4">
      <c r="A37" s="67">
        <v>33</v>
      </c>
      <c r="B37" s="73" t="s">
        <v>669</v>
      </c>
      <c r="C37" s="82" t="s">
        <v>637</v>
      </c>
      <c r="D37" s="71">
        <f>新定额单价!F852</f>
        <v>34089.8952701413</v>
      </c>
    </row>
    <row r="38" customHeight="1" spans="1:4">
      <c r="A38" s="67">
        <v>34</v>
      </c>
      <c r="B38" s="73" t="s">
        <v>670</v>
      </c>
      <c r="C38" s="82" t="s">
        <v>637</v>
      </c>
      <c r="D38" s="71">
        <f>新定额单价!F814</f>
        <v>32892.4891494375</v>
      </c>
    </row>
    <row r="39" customHeight="1" spans="1:4">
      <c r="A39" s="67">
        <v>35</v>
      </c>
      <c r="B39" s="73" t="s">
        <v>671</v>
      </c>
      <c r="C39" s="82" t="s">
        <v>637</v>
      </c>
      <c r="D39" s="71">
        <f>新定额单价!L814</f>
        <v>33992.4364001393</v>
      </c>
    </row>
    <row r="40" customHeight="1" spans="1:4">
      <c r="A40" s="67">
        <v>36</v>
      </c>
      <c r="B40" s="73" t="s">
        <v>672</v>
      </c>
      <c r="C40" s="82" t="s">
        <v>637</v>
      </c>
      <c r="D40" s="71">
        <f>新定额单价!F890</f>
        <v>31934.0580274698</v>
      </c>
    </row>
    <row r="41" customHeight="1" spans="1:4">
      <c r="A41" s="67">
        <v>37</v>
      </c>
      <c r="B41" s="73" t="s">
        <v>673</v>
      </c>
      <c r="C41" s="82" t="s">
        <v>637</v>
      </c>
      <c r="D41" s="71">
        <f>新定额单价!F966</f>
        <v>32371.1665766842</v>
      </c>
    </row>
    <row r="42" customHeight="1" spans="1:4">
      <c r="A42" s="67">
        <v>38</v>
      </c>
      <c r="B42" s="366" t="s">
        <v>674</v>
      </c>
      <c r="C42" s="367" t="s">
        <v>637</v>
      </c>
      <c r="D42" s="368">
        <f>新定额单价!L966</f>
        <v>33443.06984649</v>
      </c>
    </row>
    <row r="43" customHeight="1" spans="1:4">
      <c r="A43" s="67">
        <v>39</v>
      </c>
      <c r="B43" s="73" t="s">
        <v>675</v>
      </c>
      <c r="C43" s="82" t="s">
        <v>637</v>
      </c>
      <c r="D43" s="369">
        <f>新定额单价!F928</f>
        <v>30803.6941049453</v>
      </c>
    </row>
    <row r="44" customHeight="1" spans="1:4">
      <c r="A44" s="67">
        <v>40</v>
      </c>
      <c r="B44" s="366" t="s">
        <v>676</v>
      </c>
      <c r="C44" s="367" t="s">
        <v>637</v>
      </c>
      <c r="D44" s="368">
        <f>新定额单价!L928</f>
        <v>31863.1333832418</v>
      </c>
    </row>
    <row r="45" customHeight="1" spans="1:4">
      <c r="A45" s="67">
        <v>41</v>
      </c>
      <c r="B45" s="73" t="s">
        <v>677</v>
      </c>
      <c r="C45" s="82" t="s">
        <v>637</v>
      </c>
      <c r="D45" s="369">
        <f>新定额单价!F696</f>
        <v>17890.7298651041</v>
      </c>
    </row>
    <row r="46" customHeight="1" spans="1:4">
      <c r="A46" s="67">
        <v>43</v>
      </c>
      <c r="B46" s="370" t="s">
        <v>678</v>
      </c>
      <c r="C46" s="82" t="s">
        <v>637</v>
      </c>
      <c r="D46" s="369">
        <f>新定额单价!L422</f>
        <v>9121.21592151824</v>
      </c>
    </row>
    <row r="47" customHeight="1" spans="1:4">
      <c r="A47" s="67">
        <v>44</v>
      </c>
      <c r="B47" s="73" t="s">
        <v>679</v>
      </c>
      <c r="C47" s="82" t="s">
        <v>637</v>
      </c>
      <c r="D47" s="369">
        <f>新定额单价!F660</f>
        <v>16720.8295225849</v>
      </c>
    </row>
    <row r="48" customHeight="1" spans="1:4">
      <c r="A48" s="67">
        <v>45</v>
      </c>
      <c r="B48" s="73" t="s">
        <v>680</v>
      </c>
      <c r="C48" s="82" t="s">
        <v>637</v>
      </c>
      <c r="D48" s="369">
        <f>新定额单价!F775</f>
        <v>52804.8329892012</v>
      </c>
    </row>
    <row r="49" customHeight="1" spans="1:4">
      <c r="A49" s="67">
        <v>46</v>
      </c>
      <c r="B49" s="73" t="s">
        <v>214</v>
      </c>
      <c r="C49" s="82" t="s">
        <v>200</v>
      </c>
      <c r="D49" s="369">
        <f>新定额单价!F3178</f>
        <v>6774.28452813344</v>
      </c>
    </row>
    <row r="50" customHeight="1" spans="1:4">
      <c r="A50" s="67">
        <v>47</v>
      </c>
      <c r="B50" s="73" t="s">
        <v>681</v>
      </c>
      <c r="C50" s="82" t="s">
        <v>637</v>
      </c>
      <c r="D50" s="369">
        <f>新定额单价!F2795</f>
        <v>503.319379720782</v>
      </c>
    </row>
    <row r="51" customHeight="1" spans="1:4">
      <c r="A51" s="67">
        <v>48</v>
      </c>
      <c r="B51" s="73" t="s">
        <v>682</v>
      </c>
      <c r="C51" s="82" t="s">
        <v>637</v>
      </c>
      <c r="D51" s="369">
        <f>新定额单价!F2813</f>
        <v>1430.3274080347</v>
      </c>
    </row>
    <row r="52" customHeight="1" spans="1:4">
      <c r="A52" s="67">
        <v>49</v>
      </c>
      <c r="B52" s="73" t="s">
        <v>683</v>
      </c>
      <c r="C52" s="82" t="s">
        <v>684</v>
      </c>
      <c r="D52" s="369">
        <f>新定额单价!F3348</f>
        <v>33243.9034652242</v>
      </c>
    </row>
    <row r="53" customHeight="1" spans="1:4">
      <c r="A53" s="67">
        <v>50</v>
      </c>
      <c r="B53" s="73" t="s">
        <v>685</v>
      </c>
      <c r="C53" s="82" t="s">
        <v>684</v>
      </c>
      <c r="D53" s="369">
        <f>新定额单价!F3388</f>
        <v>83172.6181406453</v>
      </c>
    </row>
    <row r="54" customHeight="1" spans="1:4">
      <c r="A54" s="67">
        <v>51</v>
      </c>
      <c r="B54" s="73" t="s">
        <v>686</v>
      </c>
      <c r="C54" s="82" t="s">
        <v>684</v>
      </c>
      <c r="D54" s="369">
        <f>新定额单价!F3468</f>
        <v>182950.651315872</v>
      </c>
    </row>
    <row r="55" customHeight="1" spans="1:4">
      <c r="A55" s="67">
        <v>52</v>
      </c>
      <c r="B55" s="73" t="s">
        <v>687</v>
      </c>
      <c r="C55" s="82" t="s">
        <v>684</v>
      </c>
      <c r="D55" s="369">
        <f>新定额单价!F3506</f>
        <v>222688.423138855</v>
      </c>
    </row>
    <row r="56" customHeight="1" spans="1:4">
      <c r="A56" s="67">
        <v>53</v>
      </c>
      <c r="B56" s="73" t="s">
        <v>688</v>
      </c>
      <c r="C56" s="82" t="s">
        <v>684</v>
      </c>
      <c r="D56" s="369">
        <f>新定额单价!F3544</f>
        <v>282568.005934751</v>
      </c>
    </row>
    <row r="57" customHeight="1" spans="1:4">
      <c r="A57" s="67">
        <v>54</v>
      </c>
      <c r="B57" s="371" t="s">
        <v>689</v>
      </c>
      <c r="C57" s="82" t="s">
        <v>684</v>
      </c>
      <c r="D57" s="369">
        <f>新定额单价!F3620</f>
        <v>4614.41624166202</v>
      </c>
    </row>
    <row r="58" customHeight="1" spans="1:4">
      <c r="A58" s="67">
        <v>55</v>
      </c>
      <c r="B58" s="371" t="s">
        <v>690</v>
      </c>
      <c r="C58" s="82" t="s">
        <v>684</v>
      </c>
      <c r="D58" s="369">
        <f>新定额单价!F3658</f>
        <v>6645.74243649894</v>
      </c>
    </row>
    <row r="59" customHeight="1" spans="1:4">
      <c r="A59" s="67">
        <v>56</v>
      </c>
      <c r="B59" s="371" t="s">
        <v>691</v>
      </c>
      <c r="C59" s="82" t="s">
        <v>684</v>
      </c>
      <c r="D59" s="369">
        <f>新定额单价!F3696</f>
        <v>10313.0301405569</v>
      </c>
    </row>
    <row r="60" customHeight="1" spans="1:4">
      <c r="A60" s="67">
        <v>57</v>
      </c>
      <c r="B60" s="371" t="s">
        <v>692</v>
      </c>
      <c r="C60" s="82" t="s">
        <v>684</v>
      </c>
      <c r="D60" s="369">
        <f>新定额单价!F3582</f>
        <v>13149.6912126809</v>
      </c>
    </row>
    <row r="61" customHeight="1" spans="1:4">
      <c r="A61" s="67">
        <v>58</v>
      </c>
      <c r="B61" s="73" t="s">
        <v>693</v>
      </c>
      <c r="C61" s="82" t="s">
        <v>694</v>
      </c>
      <c r="D61" s="71">
        <f>新定额单价!F3731</f>
        <v>21804.3754894004</v>
      </c>
    </row>
    <row r="62" customHeight="1" spans="1:4">
      <c r="A62" s="67">
        <v>59</v>
      </c>
      <c r="B62" s="73" t="s">
        <v>695</v>
      </c>
      <c r="C62" s="82" t="s">
        <v>694</v>
      </c>
      <c r="D62" s="71">
        <f>新定额单价!F3770</f>
        <v>29140.2627686295</v>
      </c>
    </row>
    <row r="63" customHeight="1" spans="1:4">
      <c r="A63" s="67">
        <v>60</v>
      </c>
      <c r="B63" s="366" t="s">
        <v>696</v>
      </c>
      <c r="C63" s="367" t="s">
        <v>694</v>
      </c>
      <c r="D63" s="368">
        <f>新定额单价!F3812</f>
        <v>67676.4298892078</v>
      </c>
    </row>
    <row r="64" customHeight="1" spans="1:4">
      <c r="A64" s="67">
        <v>61</v>
      </c>
      <c r="B64" s="366" t="s">
        <v>697</v>
      </c>
      <c r="C64" s="367" t="s">
        <v>694</v>
      </c>
      <c r="D64" s="368">
        <f>新定额单价!L3812</f>
        <v>89143.7213896</v>
      </c>
    </row>
    <row r="65" customHeight="1" spans="1:4">
      <c r="A65" s="67">
        <v>62</v>
      </c>
      <c r="B65" s="73" t="s">
        <v>698</v>
      </c>
      <c r="C65" s="82" t="s">
        <v>694</v>
      </c>
      <c r="D65" s="369">
        <f>新定额单价!F3853</f>
        <v>72084.6563997422</v>
      </c>
    </row>
    <row r="66" customHeight="1" spans="1:4">
      <c r="A66" s="67">
        <v>63</v>
      </c>
      <c r="B66" s="73" t="s">
        <v>699</v>
      </c>
      <c r="C66" s="82" t="s">
        <v>694</v>
      </c>
      <c r="D66" s="369">
        <f>新定额单价!F3884</f>
        <v>21519.8037438308</v>
      </c>
    </row>
    <row r="67" customHeight="1" spans="1:4">
      <c r="A67" s="67">
        <v>64</v>
      </c>
      <c r="B67" s="73" t="s">
        <v>700</v>
      </c>
      <c r="C67" s="82" t="s">
        <v>649</v>
      </c>
      <c r="D67" s="369">
        <f>新定额单价!F3220</f>
        <v>12104.9652468226</v>
      </c>
    </row>
    <row r="68" customHeight="1" spans="1:4">
      <c r="A68" s="67">
        <v>65</v>
      </c>
      <c r="B68" s="73" t="s">
        <v>701</v>
      </c>
      <c r="C68" s="82" t="s">
        <v>684</v>
      </c>
      <c r="D68" s="369">
        <f>新定额单价!F3199</f>
        <v>12725.7697883636</v>
      </c>
    </row>
    <row r="69" customHeight="1" spans="1:4">
      <c r="A69" s="67">
        <v>66</v>
      </c>
      <c r="B69" s="73" t="s">
        <v>702</v>
      </c>
      <c r="C69" s="82" t="s">
        <v>649</v>
      </c>
      <c r="D69" s="369">
        <f>新定额单价!F3270</f>
        <v>8123.14755181398</v>
      </c>
    </row>
    <row r="70" customHeight="1" spans="1:4">
      <c r="A70" s="67">
        <v>67</v>
      </c>
      <c r="B70" s="73" t="s">
        <v>703</v>
      </c>
      <c r="C70" s="82" t="s">
        <v>649</v>
      </c>
      <c r="D70" s="369">
        <f>新定额单价!F3247</f>
        <v>1862.97115530134</v>
      </c>
    </row>
    <row r="71" customHeight="1" spans="1:4">
      <c r="A71" s="67">
        <v>68</v>
      </c>
      <c r="B71" s="372" t="s">
        <v>704</v>
      </c>
      <c r="C71" s="82" t="s">
        <v>649</v>
      </c>
      <c r="D71" s="369">
        <f>新定额单价!F3293</f>
        <v>453.092466547082</v>
      </c>
    </row>
    <row r="72" customHeight="1" spans="1:4">
      <c r="A72" s="67">
        <v>69</v>
      </c>
      <c r="B72" s="11" t="s">
        <v>705</v>
      </c>
      <c r="C72" s="82" t="s">
        <v>649</v>
      </c>
      <c r="D72" s="369">
        <f>新定额单价!L3293</f>
        <v>1015.28375279668</v>
      </c>
    </row>
    <row r="73" customHeight="1" spans="1:4">
      <c r="A73" s="67">
        <v>70</v>
      </c>
      <c r="B73" s="11" t="s">
        <v>706</v>
      </c>
      <c r="C73" s="82" t="s">
        <v>649</v>
      </c>
      <c r="D73" s="369">
        <f>新定额单价!F3316</f>
        <v>1604.83911079668</v>
      </c>
    </row>
    <row r="74" customHeight="1" spans="1:4">
      <c r="A74" s="67">
        <v>71</v>
      </c>
      <c r="B74" s="73" t="s">
        <v>707</v>
      </c>
      <c r="C74" s="82" t="s">
        <v>637</v>
      </c>
      <c r="D74" s="34">
        <f>新定额单价!F1349</f>
        <v>64721.4862389729</v>
      </c>
    </row>
    <row r="75" customHeight="1" spans="1:4">
      <c r="A75" s="67">
        <v>72</v>
      </c>
      <c r="B75" s="73" t="s">
        <v>708</v>
      </c>
      <c r="C75" s="82" t="s">
        <v>637</v>
      </c>
      <c r="D75" s="34">
        <f>新定额单价!L1349</f>
        <v>64732.4646660022</v>
      </c>
    </row>
    <row r="76" customHeight="1" spans="1:4">
      <c r="A76" s="67">
        <v>73</v>
      </c>
      <c r="B76" s="73" t="s">
        <v>709</v>
      </c>
      <c r="C76" s="82" t="s">
        <v>637</v>
      </c>
      <c r="D76" s="34">
        <f>新定额单价!F1395</f>
        <v>55037.8096447838</v>
      </c>
    </row>
    <row r="77" customHeight="1" spans="1:4">
      <c r="A77" s="67">
        <v>74</v>
      </c>
      <c r="B77" s="73" t="s">
        <v>710</v>
      </c>
      <c r="C77" s="82" t="s">
        <v>637</v>
      </c>
      <c r="D77" s="34">
        <f>新定额单价!F1443</f>
        <v>62209.5106951322</v>
      </c>
    </row>
    <row r="78" customHeight="1" spans="1:4">
      <c r="A78" s="67">
        <v>75</v>
      </c>
      <c r="B78" s="73" t="s">
        <v>711</v>
      </c>
      <c r="C78" s="82" t="s">
        <v>637</v>
      </c>
      <c r="D78" s="34">
        <f>新定额单价!F1489</f>
        <v>56467.4705805287</v>
      </c>
    </row>
    <row r="79" customHeight="1" spans="1:4">
      <c r="A79" s="67">
        <v>76</v>
      </c>
      <c r="B79" s="73" t="s">
        <v>712</v>
      </c>
      <c r="C79" s="82" t="s">
        <v>637</v>
      </c>
      <c r="D79" s="34">
        <f>新定额单价!L1489</f>
        <v>57464.8992970568</v>
      </c>
    </row>
    <row r="80" customHeight="1" spans="1:4">
      <c r="A80" s="67">
        <v>77</v>
      </c>
      <c r="B80" s="73" t="s">
        <v>713</v>
      </c>
      <c r="C80" s="82" t="s">
        <v>637</v>
      </c>
      <c r="D80" s="34">
        <f>新定额单价!F1118</f>
        <v>58385.7371386684</v>
      </c>
    </row>
    <row r="81" customHeight="1" spans="1:4">
      <c r="A81" s="67">
        <v>78</v>
      </c>
      <c r="B81" s="73" t="s">
        <v>714</v>
      </c>
      <c r="C81" s="82" t="s">
        <v>637</v>
      </c>
      <c r="D81" s="373">
        <f>新定额单价!L1118</f>
        <v>62778.2434022509</v>
      </c>
    </row>
    <row r="82" customHeight="1" spans="1:4">
      <c r="A82" s="67">
        <v>79</v>
      </c>
      <c r="B82" s="73" t="s">
        <v>715</v>
      </c>
      <c r="C82" s="82" t="s">
        <v>637</v>
      </c>
      <c r="D82" s="34">
        <f>新定额单价!F1164</f>
        <v>59861.6259510343</v>
      </c>
    </row>
    <row r="83" customHeight="1" spans="1:4">
      <c r="A83" s="67">
        <v>80</v>
      </c>
      <c r="B83" s="73" t="s">
        <v>716</v>
      </c>
      <c r="C83" s="82" t="s">
        <v>637</v>
      </c>
      <c r="D83" s="34">
        <f>新定额单价!F1210</f>
        <v>64809.5065697824</v>
      </c>
    </row>
    <row r="84" customHeight="1" spans="1:4">
      <c r="A84" s="67">
        <v>81</v>
      </c>
      <c r="B84" s="73" t="s">
        <v>717</v>
      </c>
      <c r="C84" s="82" t="s">
        <v>637</v>
      </c>
      <c r="D84" s="34">
        <f>新定额单价!F1256</f>
        <v>60812.8267909413</v>
      </c>
    </row>
    <row r="85" customHeight="1" spans="1:4">
      <c r="A85" s="67">
        <v>82</v>
      </c>
      <c r="B85" s="366" t="s">
        <v>718</v>
      </c>
      <c r="C85" s="367" t="s">
        <v>637</v>
      </c>
      <c r="D85" s="368">
        <f>新定额单价!F1302</f>
        <v>66029.9798243152</v>
      </c>
    </row>
    <row r="86" customHeight="1" spans="1:4">
      <c r="A86" s="67">
        <v>83</v>
      </c>
      <c r="B86" s="73" t="s">
        <v>719</v>
      </c>
      <c r="C86" s="82" t="s">
        <v>637</v>
      </c>
      <c r="D86" s="34">
        <f>新定额单价!F1535</f>
        <v>50091.3286409664</v>
      </c>
    </row>
    <row r="87" customHeight="1" spans="1:4">
      <c r="A87" s="67">
        <v>84</v>
      </c>
      <c r="B87" s="73" t="s">
        <v>720</v>
      </c>
      <c r="C87" s="82" t="s">
        <v>637</v>
      </c>
      <c r="D87" s="34">
        <f>新定额单价!F1583</f>
        <v>46325.6045840486</v>
      </c>
    </row>
    <row r="88" customHeight="1" spans="1:4">
      <c r="A88" s="67">
        <v>85</v>
      </c>
      <c r="B88" s="73" t="s">
        <v>721</v>
      </c>
      <c r="C88" s="82" t="s">
        <v>637</v>
      </c>
      <c r="D88" s="34">
        <f>新定额单价!F1631</f>
        <v>55039.2092597146</v>
      </c>
    </row>
    <row r="89" customHeight="1" spans="1:4">
      <c r="A89" s="67">
        <v>86</v>
      </c>
      <c r="B89" s="73" t="s">
        <v>722</v>
      </c>
      <c r="C89" s="82" t="s">
        <v>637</v>
      </c>
      <c r="D89" s="34">
        <f>新定额单价!F1678</f>
        <v>52838.9050885343</v>
      </c>
    </row>
    <row r="90" customHeight="1" spans="1:4">
      <c r="A90" s="67">
        <v>87</v>
      </c>
      <c r="B90" s="73" t="s">
        <v>723</v>
      </c>
      <c r="C90" s="82" t="s">
        <v>637</v>
      </c>
      <c r="D90" s="34">
        <f>新定额单价!F1725</f>
        <v>55923.015732759</v>
      </c>
    </row>
    <row r="91" customHeight="1" spans="1:4">
      <c r="A91" s="67">
        <v>88</v>
      </c>
      <c r="B91" s="73" t="s">
        <v>724</v>
      </c>
      <c r="C91" s="82" t="s">
        <v>637</v>
      </c>
      <c r="D91" s="34">
        <f>新定额单价!L1725</f>
        <v>60315.5219963415</v>
      </c>
    </row>
    <row r="92" customHeight="1" spans="1:4">
      <c r="A92" s="67">
        <v>89</v>
      </c>
      <c r="B92" s="73" t="s">
        <v>725</v>
      </c>
      <c r="C92" s="82" t="s">
        <v>637</v>
      </c>
      <c r="D92" s="34">
        <f>新定额单价!F1772</f>
        <v>57338.3274298207</v>
      </c>
    </row>
    <row r="93" customHeight="1" spans="1:4">
      <c r="A93" s="67">
        <v>90</v>
      </c>
      <c r="B93" s="73" t="s">
        <v>726</v>
      </c>
      <c r="C93" s="82" t="s">
        <v>637</v>
      </c>
      <c r="D93" s="34">
        <f>新定额单价!F1819</f>
        <v>62202.0604189982</v>
      </c>
    </row>
    <row r="94" customHeight="1" spans="1:4">
      <c r="A94" s="67">
        <v>91</v>
      </c>
      <c r="B94" s="73" t="s">
        <v>727</v>
      </c>
      <c r="C94" s="82" t="s">
        <v>637</v>
      </c>
      <c r="D94" s="34">
        <f>新定额单价!F1866</f>
        <v>58325.7794671639</v>
      </c>
    </row>
    <row r="95" customHeight="1" spans="1:4">
      <c r="A95" s="67">
        <v>92</v>
      </c>
      <c r="B95" s="73" t="s">
        <v>728</v>
      </c>
      <c r="C95" s="82" t="s">
        <v>637</v>
      </c>
      <c r="D95" s="34">
        <f>新定额单价!F1913</f>
        <v>63542.9325005378</v>
      </c>
    </row>
    <row r="96" customHeight="1" spans="1:4">
      <c r="A96" s="67">
        <v>93</v>
      </c>
      <c r="B96" s="73" t="s">
        <v>729</v>
      </c>
      <c r="C96" s="82" t="s">
        <v>637</v>
      </c>
      <c r="D96" s="34">
        <f>新定额单价!F1960</f>
        <v>62428.0079063786</v>
      </c>
    </row>
    <row r="97" customHeight="1" spans="1:4">
      <c r="A97" s="67">
        <v>94</v>
      </c>
      <c r="B97" s="73" t="s">
        <v>730</v>
      </c>
      <c r="C97" s="82" t="s">
        <v>637</v>
      </c>
      <c r="D97" s="34">
        <f>新定额单价!F2003</f>
        <v>134848.630709538</v>
      </c>
    </row>
    <row r="98" customHeight="1" spans="1:4">
      <c r="A98" s="67">
        <v>95</v>
      </c>
      <c r="B98" s="73" t="s">
        <v>731</v>
      </c>
      <c r="C98" s="82" t="s">
        <v>637</v>
      </c>
      <c r="D98" s="34">
        <f>新定额单价!F2040</f>
        <v>53952.0706645095</v>
      </c>
    </row>
    <row r="99" customHeight="1" spans="1:4">
      <c r="A99" s="67">
        <v>96</v>
      </c>
      <c r="B99" s="11" t="s">
        <v>732</v>
      </c>
      <c r="C99" s="82" t="s">
        <v>637</v>
      </c>
      <c r="D99" s="34">
        <f>新定额单价!F4020</f>
        <v>58866.3400421626</v>
      </c>
    </row>
    <row r="100" customHeight="1" spans="1:4">
      <c r="A100" s="67">
        <v>97</v>
      </c>
      <c r="B100" s="11" t="s">
        <v>733</v>
      </c>
      <c r="C100" s="82" t="s">
        <v>637</v>
      </c>
      <c r="D100" s="34">
        <f>新定额单价!F2003</f>
        <v>134848.630709538</v>
      </c>
    </row>
    <row r="101" customHeight="1" spans="1:4">
      <c r="A101" s="67">
        <v>98</v>
      </c>
      <c r="B101" s="11" t="s">
        <v>734</v>
      </c>
      <c r="C101" s="82" t="s">
        <v>637</v>
      </c>
      <c r="D101" s="34">
        <f>新定额单价!F2454</f>
        <v>50823.900200607</v>
      </c>
    </row>
    <row r="102" customHeight="1" spans="1:4">
      <c r="A102" s="67">
        <v>99</v>
      </c>
      <c r="B102" s="11" t="s">
        <v>735</v>
      </c>
      <c r="C102" s="82" t="s">
        <v>637</v>
      </c>
      <c r="D102" s="34">
        <f>新定额单价!L2454</f>
        <v>57035.0364463965</v>
      </c>
    </row>
    <row r="103" customHeight="1" spans="1:4">
      <c r="A103" s="67">
        <v>100</v>
      </c>
      <c r="B103" s="11" t="s">
        <v>736</v>
      </c>
      <c r="C103" s="82" t="s">
        <v>637</v>
      </c>
      <c r="D103" s="34">
        <f>新定额单价!F2498</f>
        <v>61106.7345848284</v>
      </c>
    </row>
    <row r="104" customHeight="1" spans="1:4">
      <c r="A104" s="67">
        <v>101</v>
      </c>
      <c r="B104" s="11" t="s">
        <v>737</v>
      </c>
      <c r="C104" s="82" t="s">
        <v>637</v>
      </c>
      <c r="D104" s="34">
        <f>新定额单价!L2498</f>
        <v>67229.7857271737</v>
      </c>
    </row>
    <row r="105" customHeight="1" spans="1:4">
      <c r="A105" s="67">
        <v>102</v>
      </c>
      <c r="B105" s="11" t="s">
        <v>738</v>
      </c>
      <c r="C105" s="82" t="s">
        <v>637</v>
      </c>
      <c r="D105" s="34">
        <f>新定额单价!F2368</f>
        <v>54213.237513</v>
      </c>
    </row>
    <row r="106" customHeight="1" spans="1:4">
      <c r="A106" s="67">
        <v>103</v>
      </c>
      <c r="B106" s="11" t="s">
        <v>739</v>
      </c>
      <c r="C106" s="82" t="s">
        <v>637</v>
      </c>
      <c r="D106" s="34">
        <f>新定额单价!F2322</f>
        <v>52802.7088954994</v>
      </c>
    </row>
    <row r="107" customHeight="1" spans="1:4">
      <c r="A107" s="67">
        <v>104</v>
      </c>
      <c r="B107" s="11" t="s">
        <v>740</v>
      </c>
      <c r="C107" s="82" t="s">
        <v>637</v>
      </c>
      <c r="D107" s="34">
        <f>新定额单价!F2276</f>
        <v>49729.0852726405</v>
      </c>
    </row>
    <row r="108" customHeight="1" spans="1:4">
      <c r="A108" s="67">
        <v>105</v>
      </c>
      <c r="B108" s="11" t="s">
        <v>741</v>
      </c>
      <c r="C108" s="82" t="s">
        <v>637</v>
      </c>
      <c r="D108" s="34">
        <f>新定额单价!L2276</f>
        <v>57195.2151590819</v>
      </c>
    </row>
    <row r="109" customHeight="1" spans="1:4">
      <c r="A109" s="67">
        <v>106</v>
      </c>
      <c r="B109" s="11" t="s">
        <v>742</v>
      </c>
      <c r="C109" s="82" t="s">
        <v>637</v>
      </c>
      <c r="D109" s="34">
        <f>新定额单价!F2410</f>
        <v>56075.8776530056</v>
      </c>
    </row>
    <row r="110" customHeight="1" spans="1:4">
      <c r="A110" s="67">
        <v>107</v>
      </c>
      <c r="B110" s="11" t="s">
        <v>743</v>
      </c>
      <c r="C110" s="82" t="s">
        <v>637</v>
      </c>
      <c r="D110" s="34">
        <f>新定额单价!F2498</f>
        <v>61106.7345848284</v>
      </c>
    </row>
    <row r="111" customHeight="1" spans="1:4">
      <c r="A111" s="67">
        <v>108</v>
      </c>
      <c r="B111" s="11" t="s">
        <v>744</v>
      </c>
      <c r="C111" s="82" t="s">
        <v>637</v>
      </c>
      <c r="D111" s="34">
        <f>新定额单价!F2454</f>
        <v>50823.900200607</v>
      </c>
    </row>
    <row r="112" customHeight="1" spans="1:4">
      <c r="A112" s="67">
        <v>109</v>
      </c>
      <c r="B112" s="11" t="s">
        <v>745</v>
      </c>
      <c r="C112" s="82" t="s">
        <v>637</v>
      </c>
      <c r="D112" s="34">
        <f>新定额单价!F2138</f>
        <v>73569.3342764188</v>
      </c>
    </row>
    <row r="113" customHeight="1" spans="1:4">
      <c r="A113" s="67">
        <v>110</v>
      </c>
      <c r="B113" s="11" t="s">
        <v>746</v>
      </c>
      <c r="C113" s="82" t="s">
        <v>637</v>
      </c>
      <c r="D113" s="34">
        <f>新定额单价!F2092</f>
        <v>74940.901802742</v>
      </c>
    </row>
    <row r="114" customHeight="1" spans="1:4">
      <c r="A114" s="67">
        <v>111</v>
      </c>
      <c r="B114" s="11" t="s">
        <v>747</v>
      </c>
      <c r="C114" s="82" t="s">
        <v>637</v>
      </c>
      <c r="D114" s="34">
        <f>新定额单价!F2184</f>
        <v>76991.0897357094</v>
      </c>
    </row>
    <row r="115" customHeight="1" spans="1:4">
      <c r="A115" s="67">
        <v>112</v>
      </c>
      <c r="B115" s="11" t="s">
        <v>748</v>
      </c>
      <c r="C115" s="82" t="s">
        <v>637</v>
      </c>
      <c r="D115" s="34">
        <f>新定额单价!L2184</f>
        <v>82208.2427690833</v>
      </c>
    </row>
    <row r="116" customHeight="1" spans="1:4">
      <c r="A116" s="67">
        <v>113</v>
      </c>
      <c r="B116" s="11" t="s">
        <v>749</v>
      </c>
      <c r="C116" s="82" t="s">
        <v>637</v>
      </c>
      <c r="D116" s="34">
        <f>新定额单价!F2230</f>
        <v>87162.7871308823</v>
      </c>
    </row>
    <row r="117" customHeight="1" spans="1:4">
      <c r="A117" s="67">
        <v>114</v>
      </c>
      <c r="B117" s="73" t="s">
        <v>750</v>
      </c>
      <c r="C117" s="82" t="s">
        <v>637</v>
      </c>
      <c r="D117" s="34">
        <f>新定额单价!F2641</f>
        <v>97794.5649219147</v>
      </c>
    </row>
    <row r="118" customHeight="1" spans="1:4">
      <c r="A118" s="67">
        <v>115</v>
      </c>
      <c r="B118" s="73" t="s">
        <v>751</v>
      </c>
      <c r="C118" s="82" t="s">
        <v>637</v>
      </c>
      <c r="D118" s="34">
        <f>新定额单价!F2688</f>
        <v>58306.661449156</v>
      </c>
    </row>
    <row r="119" customHeight="1" spans="1:4">
      <c r="A119" s="67">
        <v>116</v>
      </c>
      <c r="B119" s="73" t="s">
        <v>752</v>
      </c>
      <c r="C119" s="82" t="s">
        <v>637</v>
      </c>
      <c r="D119" s="34">
        <f>新定额单价!F2736</f>
        <v>103011.717955289</v>
      </c>
    </row>
    <row r="120" customHeight="1" spans="1:4">
      <c r="A120" s="67">
        <v>117</v>
      </c>
      <c r="B120" s="73" t="s">
        <v>753</v>
      </c>
      <c r="C120" s="82" t="s">
        <v>637</v>
      </c>
      <c r="D120" s="34">
        <f>新定额单价!F2783</f>
        <v>63523.8144825299</v>
      </c>
    </row>
    <row r="121" customHeight="1" spans="1:4">
      <c r="A121" s="67">
        <v>118</v>
      </c>
      <c r="B121" s="73" t="s">
        <v>754</v>
      </c>
      <c r="C121" s="82" t="s">
        <v>637</v>
      </c>
      <c r="D121" s="34">
        <f>新定额单价!F2900</f>
        <v>94117.8170844581</v>
      </c>
    </row>
    <row r="122" customHeight="1" spans="1:4">
      <c r="A122" s="67">
        <v>119</v>
      </c>
      <c r="B122" s="73" t="s">
        <v>755</v>
      </c>
      <c r="C122" s="82" t="s">
        <v>637</v>
      </c>
      <c r="D122" s="34">
        <f>新定额单价!F2981</f>
        <v>91581.0424006506</v>
      </c>
    </row>
    <row r="123" customHeight="1" spans="1:4">
      <c r="A123" s="67">
        <v>120</v>
      </c>
      <c r="B123" s="73" t="s">
        <v>756</v>
      </c>
      <c r="C123" s="82" t="s">
        <v>637</v>
      </c>
      <c r="D123" s="34">
        <f>新定额单价!L2981</f>
        <v>95687.0774544839</v>
      </c>
    </row>
    <row r="124" customHeight="1" spans="1:4">
      <c r="A124" s="67">
        <v>121</v>
      </c>
      <c r="B124" s="73" t="s">
        <v>757</v>
      </c>
      <c r="C124" s="82" t="s">
        <v>637</v>
      </c>
      <c r="D124" s="34">
        <f>新定额单价!F3059</f>
        <v>91436.7820299546</v>
      </c>
    </row>
    <row r="125" customHeight="1" spans="1:4">
      <c r="A125" s="67">
        <v>122</v>
      </c>
      <c r="B125" s="73" t="s">
        <v>758</v>
      </c>
      <c r="C125" s="82" t="s">
        <v>637</v>
      </c>
      <c r="D125" s="34">
        <f>新定额单价!F3139</f>
        <v>122358.460602136</v>
      </c>
    </row>
    <row r="126" customHeight="1" spans="1:4">
      <c r="A126" s="67">
        <v>123</v>
      </c>
      <c r="B126" s="73" t="s">
        <v>759</v>
      </c>
      <c r="C126" s="82" t="s">
        <v>637</v>
      </c>
      <c r="D126" s="34">
        <f>新定额单价!F4041</f>
        <v>1749.87359638112</v>
      </c>
    </row>
    <row r="127" customHeight="1" spans="1:4">
      <c r="A127" s="67">
        <v>124</v>
      </c>
      <c r="B127" s="73" t="s">
        <v>760</v>
      </c>
      <c r="C127" s="82" t="s">
        <v>637</v>
      </c>
      <c r="D127" s="34">
        <f>新定额单价!F4062</f>
        <v>4305.7329502643</v>
      </c>
    </row>
    <row r="128" customHeight="1" spans="1:4">
      <c r="A128" s="67">
        <v>125</v>
      </c>
      <c r="B128" s="73" t="s">
        <v>761</v>
      </c>
      <c r="C128" s="82" t="s">
        <v>637</v>
      </c>
      <c r="D128" s="34">
        <f>新定额单价!F4083</f>
        <v>7717.90491460909</v>
      </c>
    </row>
    <row r="129" customHeight="1" spans="1:4">
      <c r="A129" s="67">
        <v>126</v>
      </c>
      <c r="B129" s="73" t="s">
        <v>762</v>
      </c>
      <c r="C129" s="82" t="s">
        <v>637</v>
      </c>
      <c r="D129" s="34">
        <f>新定额单价!F4104</f>
        <v>10117.8654623918</v>
      </c>
    </row>
    <row r="130" customHeight="1" spans="1:4">
      <c r="A130" s="67">
        <v>127</v>
      </c>
      <c r="B130" s="75" t="s">
        <v>763</v>
      </c>
      <c r="C130" s="82" t="s">
        <v>637</v>
      </c>
      <c r="D130" s="34">
        <f>新定额单价!F4351</f>
        <v>85378.8863733229</v>
      </c>
    </row>
    <row r="131" customHeight="1" spans="1:4">
      <c r="A131" s="67">
        <v>128</v>
      </c>
      <c r="B131" s="75" t="s">
        <v>764</v>
      </c>
      <c r="C131" s="82" t="s">
        <v>637</v>
      </c>
      <c r="D131" s="368">
        <f>新定额单价!F4389</f>
        <v>91963.5267636811</v>
      </c>
    </row>
    <row r="132" customHeight="1" spans="1:4">
      <c r="A132" s="67">
        <v>129</v>
      </c>
      <c r="B132" s="75" t="s">
        <v>765</v>
      </c>
      <c r="C132" s="82" t="s">
        <v>637</v>
      </c>
      <c r="D132" s="34">
        <f>新定额单价!F4140</f>
        <v>56006.9014223239</v>
      </c>
    </row>
    <row r="133" customHeight="1" spans="1:4">
      <c r="A133" s="67">
        <v>130</v>
      </c>
      <c r="B133" s="75" t="s">
        <v>766</v>
      </c>
      <c r="C133" s="82" t="s">
        <v>637</v>
      </c>
      <c r="D133" s="34">
        <f>新定额单价!F4261</f>
        <v>20072.7087805843</v>
      </c>
    </row>
    <row r="134" customHeight="1" spans="1:4">
      <c r="A134" s="67">
        <v>131</v>
      </c>
      <c r="B134" s="75" t="s">
        <v>767</v>
      </c>
      <c r="C134" s="82" t="s">
        <v>637</v>
      </c>
      <c r="D134" s="34">
        <f>新定额单价!F4215</f>
        <v>7492.19971538043</v>
      </c>
    </row>
    <row r="135" customHeight="1" spans="1:4">
      <c r="A135" s="67">
        <v>132</v>
      </c>
      <c r="B135" s="75" t="s">
        <v>768</v>
      </c>
      <c r="C135" s="82" t="s">
        <v>637</v>
      </c>
      <c r="D135" s="34">
        <f>新定额单价!F4429</f>
        <v>45127.5435980732</v>
      </c>
    </row>
    <row r="136" customHeight="1" spans="1:4">
      <c r="A136" s="67">
        <v>133</v>
      </c>
      <c r="B136" s="75" t="s">
        <v>769</v>
      </c>
      <c r="C136" s="82" t="s">
        <v>637</v>
      </c>
      <c r="D136" s="34">
        <f>新定额单价!F4467</f>
        <v>51342.2858266482</v>
      </c>
    </row>
    <row r="137" customHeight="1" spans="1:4">
      <c r="A137" s="67">
        <v>134</v>
      </c>
      <c r="B137" s="75" t="s">
        <v>770</v>
      </c>
      <c r="C137" s="82" t="s">
        <v>637</v>
      </c>
      <c r="D137" s="34">
        <f>新定额单价!F4543</f>
        <v>71147.487785261</v>
      </c>
    </row>
    <row r="138" customHeight="1" spans="1:4">
      <c r="A138" s="67">
        <v>135</v>
      </c>
      <c r="B138" s="73" t="s">
        <v>771</v>
      </c>
      <c r="C138" s="82" t="s">
        <v>649</v>
      </c>
      <c r="D138" s="34">
        <f>新定额单价!F4575</f>
        <v>1751.98111962923</v>
      </c>
    </row>
    <row r="139" customHeight="1" spans="1:4">
      <c r="A139" s="67">
        <v>136</v>
      </c>
      <c r="B139" s="73" t="s">
        <v>772</v>
      </c>
      <c r="C139" s="82" t="s">
        <v>637</v>
      </c>
      <c r="D139" s="34">
        <f>新定额单价!F4609</f>
        <v>17825.1478497433</v>
      </c>
    </row>
    <row r="140" customHeight="1" spans="1:4">
      <c r="A140" s="67">
        <v>137</v>
      </c>
      <c r="B140" s="73" t="s">
        <v>773</v>
      </c>
      <c r="C140" s="82" t="s">
        <v>637</v>
      </c>
      <c r="D140" s="34">
        <f>新定额单价!F4649</f>
        <v>23760.0267359188</v>
      </c>
    </row>
    <row r="141" customHeight="1" spans="1:4">
      <c r="A141" s="67">
        <v>138</v>
      </c>
      <c r="B141" s="366" t="s">
        <v>774</v>
      </c>
      <c r="C141" s="367" t="s">
        <v>637</v>
      </c>
      <c r="D141" s="368">
        <f>新定额单价!F5508</f>
        <v>9550.81023661873</v>
      </c>
    </row>
    <row r="142" customHeight="1" spans="1:4">
      <c r="A142" s="67">
        <v>139</v>
      </c>
      <c r="B142" s="75" t="s">
        <v>775</v>
      </c>
      <c r="C142" s="82" t="s">
        <v>776</v>
      </c>
      <c r="D142" s="34">
        <f>新定额单价!F3920</f>
        <v>11.382804309188</v>
      </c>
    </row>
    <row r="143" customHeight="1" spans="1:4">
      <c r="A143" s="67">
        <v>140</v>
      </c>
      <c r="B143" s="75" t="s">
        <v>777</v>
      </c>
      <c r="C143" s="82" t="s">
        <v>776</v>
      </c>
      <c r="D143" s="72">
        <f>新定额单价!F3906</f>
        <v>25.59447122776</v>
      </c>
    </row>
    <row r="144" customHeight="1" spans="1:4">
      <c r="A144" s="67">
        <v>141</v>
      </c>
      <c r="B144" s="75" t="s">
        <v>778</v>
      </c>
      <c r="C144" s="82" t="s">
        <v>776</v>
      </c>
      <c r="D144" s="72">
        <f>新定额单价!F3934</f>
        <v>49.84186502248</v>
      </c>
    </row>
    <row r="145" customHeight="1" spans="1:4">
      <c r="A145" s="67">
        <v>142</v>
      </c>
      <c r="B145" s="75" t="s">
        <v>779</v>
      </c>
      <c r="C145" s="82" t="s">
        <v>776</v>
      </c>
      <c r="D145" s="72">
        <f>新定额单价!F3948</f>
        <v>1.549139047996</v>
      </c>
    </row>
    <row r="146" customHeight="1" spans="1:4">
      <c r="A146" s="67">
        <v>143</v>
      </c>
      <c r="B146" s="75" t="s">
        <v>780</v>
      </c>
      <c r="C146" s="82" t="s">
        <v>637</v>
      </c>
      <c r="D146" s="72">
        <f>新定额单价!F4688</f>
        <v>38345.0770420328</v>
      </c>
    </row>
    <row r="147" customHeight="1" spans="1:4">
      <c r="A147" s="67">
        <v>144</v>
      </c>
      <c r="B147" s="75" t="s">
        <v>781</v>
      </c>
      <c r="C147" s="82" t="s">
        <v>637</v>
      </c>
      <c r="D147" s="374">
        <f>新定额单价!F4726</f>
        <v>34431.7043329817</v>
      </c>
    </row>
    <row r="148" customHeight="1" spans="1:4">
      <c r="A148" s="67">
        <v>145</v>
      </c>
      <c r="B148" s="375" t="s">
        <v>782</v>
      </c>
      <c r="C148" s="82" t="s">
        <v>637</v>
      </c>
      <c r="D148" s="72">
        <f>新定额单价!F4764</f>
        <v>29357.0619527567</v>
      </c>
    </row>
    <row r="149" customHeight="1" spans="1:4">
      <c r="A149" s="67">
        <v>146</v>
      </c>
      <c r="B149" s="375" t="s">
        <v>783</v>
      </c>
      <c r="C149" s="82" t="s">
        <v>637</v>
      </c>
      <c r="D149" s="129">
        <f>新定额单价!F4802</f>
        <v>30475.4458873226</v>
      </c>
    </row>
    <row r="150" customHeight="1" spans="1:4">
      <c r="A150" s="67">
        <v>147</v>
      </c>
      <c r="B150" s="75" t="s">
        <v>784</v>
      </c>
      <c r="C150" s="82" t="s">
        <v>637</v>
      </c>
      <c r="D150" s="376">
        <f>新定额单价!F4954</f>
        <v>25310.8434602368</v>
      </c>
    </row>
    <row r="151" customHeight="1" spans="1:4">
      <c r="A151" s="67">
        <v>148</v>
      </c>
      <c r="B151" s="375" t="s">
        <v>785</v>
      </c>
      <c r="C151" s="82" t="s">
        <v>637</v>
      </c>
      <c r="D151" s="129">
        <f>新定额单价!F4878</f>
        <v>20535.9237757356</v>
      </c>
    </row>
    <row r="152" customHeight="1" spans="1:4">
      <c r="A152" s="67">
        <v>149</v>
      </c>
      <c r="B152" s="375" t="s">
        <v>786</v>
      </c>
      <c r="C152" s="82" t="s">
        <v>637</v>
      </c>
      <c r="D152" s="72">
        <f>新定额单价!F4916</f>
        <v>24157.539193884</v>
      </c>
    </row>
    <row r="153" customHeight="1" spans="1:4">
      <c r="A153" s="67">
        <v>150</v>
      </c>
      <c r="B153" s="8" t="s">
        <v>787</v>
      </c>
      <c r="C153" s="82" t="s">
        <v>637</v>
      </c>
      <c r="D153" s="72">
        <f>新定额单价!F5003</f>
        <v>64464.4104951282</v>
      </c>
    </row>
    <row r="154" customHeight="1" spans="1:4">
      <c r="A154" s="67">
        <v>151</v>
      </c>
      <c r="B154" s="8" t="s">
        <v>788</v>
      </c>
      <c r="C154" s="82" t="s">
        <v>684</v>
      </c>
      <c r="D154" s="72">
        <f>新定额单价!F5042</f>
        <v>66639.6035635999</v>
      </c>
    </row>
    <row r="155" customHeight="1" spans="1:4">
      <c r="A155" s="67">
        <v>152</v>
      </c>
      <c r="B155" s="377" t="s">
        <v>789</v>
      </c>
      <c r="C155" s="378" t="s">
        <v>790</v>
      </c>
      <c r="D155" s="379">
        <v>35</v>
      </c>
    </row>
    <row r="156" customHeight="1" spans="1:4">
      <c r="A156" s="67">
        <v>153</v>
      </c>
      <c r="B156" s="377" t="s">
        <v>791</v>
      </c>
      <c r="C156" s="378" t="s">
        <v>790</v>
      </c>
      <c r="D156" s="379">
        <f>16.51*1.09</f>
        <v>17.9959</v>
      </c>
    </row>
    <row r="157" customHeight="1" spans="1:4">
      <c r="A157" s="67">
        <v>154</v>
      </c>
      <c r="B157" s="377" t="s">
        <v>792</v>
      </c>
      <c r="C157" s="378" t="s">
        <v>790</v>
      </c>
      <c r="D157" s="379">
        <f>16.51*1.09</f>
        <v>17.9959</v>
      </c>
    </row>
    <row r="158" customHeight="1" spans="1:4">
      <c r="A158" s="67">
        <v>155</v>
      </c>
      <c r="B158" s="377" t="s">
        <v>793</v>
      </c>
      <c r="C158" s="378" t="s">
        <v>790</v>
      </c>
      <c r="D158" s="379">
        <f>45.87*1.09</f>
        <v>49.9983</v>
      </c>
    </row>
    <row r="159" customHeight="1" spans="1:4">
      <c r="A159" s="67">
        <v>156</v>
      </c>
      <c r="B159" s="377" t="s">
        <v>794</v>
      </c>
      <c r="C159" s="378" t="s">
        <v>790</v>
      </c>
      <c r="D159" s="379">
        <f>119.27*1.09</f>
        <v>130.0043</v>
      </c>
    </row>
    <row r="160" customHeight="1" spans="1:4">
      <c r="A160" s="67">
        <v>157</v>
      </c>
      <c r="B160" s="377" t="s">
        <v>795</v>
      </c>
      <c r="C160" s="378" t="s">
        <v>790</v>
      </c>
      <c r="D160" s="379">
        <f>91.74*1.09</f>
        <v>99.9966</v>
      </c>
    </row>
    <row r="161" customHeight="1" spans="1:4">
      <c r="A161" s="67">
        <v>158</v>
      </c>
      <c r="B161" s="377" t="s">
        <v>796</v>
      </c>
      <c r="C161" s="378" t="s">
        <v>790</v>
      </c>
      <c r="D161" s="379">
        <f>27.52*1.09</f>
        <v>29.9968</v>
      </c>
    </row>
    <row r="162" customHeight="1" spans="1:4">
      <c r="A162" s="67">
        <v>159</v>
      </c>
      <c r="B162" s="377" t="s">
        <v>797</v>
      </c>
      <c r="C162" s="378" t="s">
        <v>790</v>
      </c>
      <c r="D162" s="379">
        <f>45.87*1.09</f>
        <v>49.9983</v>
      </c>
    </row>
    <row r="163" customHeight="1" spans="1:4">
      <c r="A163" s="67">
        <v>160</v>
      </c>
      <c r="B163" s="377" t="s">
        <v>798</v>
      </c>
      <c r="C163" s="378" t="s">
        <v>790</v>
      </c>
      <c r="D163" s="379">
        <f>32.11*1.09</f>
        <v>34.9999</v>
      </c>
    </row>
    <row r="164" customHeight="1" spans="1:4">
      <c r="A164" s="67">
        <v>161</v>
      </c>
      <c r="B164" s="377" t="s">
        <v>799</v>
      </c>
      <c r="C164" s="378" t="s">
        <v>790</v>
      </c>
      <c r="D164" s="379">
        <f>45.87*1.09</f>
        <v>49.9983</v>
      </c>
    </row>
    <row r="165" customHeight="1" spans="1:4">
      <c r="A165" s="67">
        <v>162</v>
      </c>
      <c r="B165" s="377" t="s">
        <v>800</v>
      </c>
      <c r="C165" s="378" t="s">
        <v>790</v>
      </c>
      <c r="D165" s="379">
        <f>32.11*1.09</f>
        <v>34.9999</v>
      </c>
    </row>
    <row r="166" customHeight="1" spans="1:4">
      <c r="A166" s="67">
        <v>163</v>
      </c>
      <c r="B166" s="377" t="s">
        <v>801</v>
      </c>
      <c r="C166" s="378" t="s">
        <v>790</v>
      </c>
      <c r="D166" s="379">
        <f>3.21*1.09</f>
        <v>3.4989</v>
      </c>
    </row>
    <row r="167" customHeight="1" spans="1:4">
      <c r="A167" s="67">
        <v>164</v>
      </c>
      <c r="B167" s="377" t="s">
        <v>802</v>
      </c>
      <c r="C167" s="378" t="s">
        <v>790</v>
      </c>
      <c r="D167" s="379">
        <f>1.38*1.09</f>
        <v>1.5042</v>
      </c>
    </row>
    <row r="168" customHeight="1" spans="1:4">
      <c r="A168" s="67">
        <v>165</v>
      </c>
      <c r="B168" s="377" t="s">
        <v>803</v>
      </c>
      <c r="C168" s="378" t="s">
        <v>790</v>
      </c>
      <c r="D168" s="379">
        <v>5</v>
      </c>
    </row>
    <row r="169" customHeight="1" spans="1:4">
      <c r="A169" s="67">
        <v>166</v>
      </c>
      <c r="B169" s="377" t="s">
        <v>804</v>
      </c>
      <c r="C169" s="378" t="s">
        <v>805</v>
      </c>
      <c r="D169" s="379">
        <f t="shared" ref="D169:D172" si="0">0.73*25</f>
        <v>18.25</v>
      </c>
    </row>
    <row r="170" customHeight="1" spans="1:4">
      <c r="A170" s="67">
        <v>167</v>
      </c>
      <c r="B170" s="377" t="s">
        <v>806</v>
      </c>
      <c r="C170" s="378" t="s">
        <v>805</v>
      </c>
      <c r="D170" s="379">
        <f t="shared" si="0"/>
        <v>18.25</v>
      </c>
    </row>
    <row r="171" customHeight="1" spans="1:7">
      <c r="A171" s="67">
        <v>168</v>
      </c>
      <c r="B171" s="377" t="s">
        <v>807</v>
      </c>
      <c r="C171" s="378" t="s">
        <v>805</v>
      </c>
      <c r="D171" s="379">
        <f t="shared" si="0"/>
        <v>18.25</v>
      </c>
      <c r="G171">
        <v>16</v>
      </c>
    </row>
    <row r="172" customHeight="1" spans="1:4">
      <c r="A172" s="67">
        <v>169</v>
      </c>
      <c r="B172" s="377" t="s">
        <v>808</v>
      </c>
      <c r="C172" s="378" t="s">
        <v>805</v>
      </c>
      <c r="D172" s="379">
        <f t="shared" si="0"/>
        <v>18.25</v>
      </c>
    </row>
    <row r="173" customHeight="1" spans="1:4">
      <c r="A173" s="67">
        <v>170</v>
      </c>
      <c r="B173" s="377" t="s">
        <v>809</v>
      </c>
      <c r="C173" s="378" t="s">
        <v>805</v>
      </c>
      <c r="D173" s="379">
        <f>2.29*25</f>
        <v>57.25</v>
      </c>
    </row>
    <row r="174" customHeight="1" spans="1:4">
      <c r="A174" s="67">
        <v>171</v>
      </c>
      <c r="B174" s="377" t="s">
        <v>810</v>
      </c>
      <c r="C174" s="378" t="s">
        <v>805</v>
      </c>
      <c r="D174" s="379">
        <f>16*0.7</f>
        <v>11.2</v>
      </c>
    </row>
    <row r="175" customHeight="1" spans="1:4">
      <c r="A175" s="67">
        <v>172</v>
      </c>
      <c r="B175" s="377" t="s">
        <v>811</v>
      </c>
      <c r="C175" s="378" t="s">
        <v>805</v>
      </c>
      <c r="D175" s="379">
        <f>16*0.2</f>
        <v>3.2</v>
      </c>
    </row>
    <row r="176" customHeight="1" spans="1:4">
      <c r="A176" s="67">
        <v>173</v>
      </c>
      <c r="B176" s="380" t="s">
        <v>812</v>
      </c>
      <c r="C176" s="381" t="s">
        <v>813</v>
      </c>
      <c r="D176" s="382">
        <f>新定额单价!F5176</f>
        <v>57.6730520481696</v>
      </c>
    </row>
    <row r="177" customHeight="1" spans="1:4">
      <c r="A177" s="67">
        <v>174</v>
      </c>
      <c r="B177" s="377" t="s">
        <v>814</v>
      </c>
      <c r="C177" s="246" t="s">
        <v>813</v>
      </c>
      <c r="D177" s="72">
        <f>新定额单价!F5196</f>
        <v>147.20170566539</v>
      </c>
    </row>
    <row r="178" customHeight="1" spans="1:4">
      <c r="A178" s="67">
        <v>175</v>
      </c>
      <c r="B178" s="8" t="s">
        <v>815</v>
      </c>
      <c r="C178" s="246" t="s">
        <v>813</v>
      </c>
      <c r="D178" s="72">
        <f>新定额单价!F5216</f>
        <v>39.3683306504408</v>
      </c>
    </row>
    <row r="179" customHeight="1" spans="1:4">
      <c r="A179" s="67">
        <v>176</v>
      </c>
      <c r="B179" s="383" t="s">
        <v>816</v>
      </c>
      <c r="C179" s="381" t="s">
        <v>813</v>
      </c>
      <c r="D179" s="374">
        <f>新定额单价!L5236</f>
        <v>4.46491456918907</v>
      </c>
    </row>
    <row r="180" customHeight="1" spans="1:4">
      <c r="A180" s="67">
        <v>177</v>
      </c>
      <c r="B180" s="8" t="s">
        <v>817</v>
      </c>
      <c r="C180" s="9" t="s">
        <v>818</v>
      </c>
      <c r="D180" s="72">
        <f>新定额单价!F5256</f>
        <v>708.736374660826</v>
      </c>
    </row>
    <row r="181" customHeight="1" spans="1:4">
      <c r="A181" s="67">
        <v>178</v>
      </c>
      <c r="B181" s="8" t="s">
        <v>819</v>
      </c>
      <c r="C181" s="82" t="s">
        <v>820</v>
      </c>
      <c r="D181" s="72">
        <f>新定额单价!F5278</f>
        <v>8.94821995742875</v>
      </c>
    </row>
    <row r="182" customHeight="1" spans="1:4">
      <c r="A182" s="67">
        <v>179</v>
      </c>
      <c r="B182" s="8" t="s">
        <v>821</v>
      </c>
      <c r="C182" s="7" t="s">
        <v>790</v>
      </c>
      <c r="D182" s="72">
        <f>新定额单价!F5302/10*(1+2*0.7+3*0.4+12*0.3)</f>
        <v>21.8270190414348</v>
      </c>
    </row>
    <row r="183" customHeight="1" spans="1:7">
      <c r="A183" s="67">
        <v>180</v>
      </c>
      <c r="B183" s="383" t="s">
        <v>822</v>
      </c>
      <c r="C183" s="384" t="s">
        <v>790</v>
      </c>
      <c r="D183" s="374">
        <f>新定额单价!F5324/10*(1+2*0.7+3*0.4+8*0.3)</f>
        <v>16.6655005262125</v>
      </c>
      <c r="G183">
        <f>14-6</f>
        <v>8</v>
      </c>
    </row>
    <row r="184" customHeight="1" spans="1:4">
      <c r="A184" s="67">
        <v>181</v>
      </c>
      <c r="B184" s="383" t="s">
        <v>823</v>
      </c>
      <c r="C184" s="384" t="s">
        <v>790</v>
      </c>
      <c r="D184" s="385">
        <f>新定额单价!F5346/10*(1+2*0.7+3*0.4+8*0.3)</f>
        <v>3.89145491152498</v>
      </c>
    </row>
    <row r="185" customHeight="1" spans="1:4">
      <c r="A185" s="67">
        <v>182</v>
      </c>
      <c r="B185" s="386" t="s">
        <v>824</v>
      </c>
      <c r="C185" s="119" t="s">
        <v>825</v>
      </c>
      <c r="D185" s="122">
        <f>新定额单价!F5368/100*(1+2*0.7+15*0.4)</f>
        <v>7.53383622971386</v>
      </c>
    </row>
    <row r="186" customHeight="1" spans="1:4">
      <c r="A186" s="67">
        <v>183</v>
      </c>
      <c r="B186" s="8" t="s">
        <v>826</v>
      </c>
      <c r="C186" s="7" t="s">
        <v>825</v>
      </c>
      <c r="D186" s="72">
        <f>新定额单价!F5389/100*(1+2*0.7+3*0.4+12*0.3)</f>
        <v>4.55664458264686</v>
      </c>
    </row>
    <row r="187" customHeight="1" spans="1:4">
      <c r="A187" s="67">
        <v>184</v>
      </c>
      <c r="B187" s="8" t="s">
        <v>827</v>
      </c>
      <c r="C187" s="7" t="s">
        <v>825</v>
      </c>
      <c r="D187" s="385">
        <f>新定额单价!F5455/100*(1+6*0.7)</f>
        <v>9.40603485893498</v>
      </c>
    </row>
    <row r="188" customHeight="1" spans="1:4">
      <c r="A188" s="7"/>
      <c r="B188" s="8"/>
      <c r="C188" s="9"/>
      <c r="D188" s="72"/>
    </row>
    <row r="189" customHeight="1" spans="1:4">
      <c r="A189" s="75"/>
      <c r="B189" s="75"/>
      <c r="C189" s="75"/>
      <c r="D189" s="72"/>
    </row>
  </sheetData>
  <sheetProtection formatCells="0" insertHyperlinks="0" autoFilter="0"/>
  <mergeCells count="5">
    <mergeCell ref="A3:A4"/>
    <mergeCell ref="B3:B4"/>
    <mergeCell ref="C3:C4"/>
    <mergeCell ref="D3:D4"/>
    <mergeCell ref="A1:D2"/>
  </mergeCells>
  <pageMargins left="0.75" right="0.75" top="1" bottom="1" header="0.5" footer="0.5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tabColor theme="0"/>
    <outlinePr summaryBelow="0"/>
  </sheetPr>
  <dimension ref="A1:Y5515"/>
  <sheetViews>
    <sheetView topLeftCell="A4587" workbookViewId="0">
      <selection activeCell="K4608" sqref="K4608"/>
    </sheetView>
  </sheetViews>
  <sheetFormatPr defaultColWidth="9" defaultRowHeight="18" customHeight="1"/>
  <cols>
    <col min="1" max="1" width="9.375" style="221" customWidth="1"/>
    <col min="2" max="2" width="22" style="222" customWidth="1"/>
    <col min="3" max="3" width="9.75" style="221" customWidth="1"/>
    <col min="4" max="4" width="10.125" style="221" customWidth="1"/>
    <col min="5" max="5" width="10.5" style="221" customWidth="1"/>
    <col min="6" max="6" width="12.125" style="221" customWidth="1"/>
    <col min="7" max="7" width="11" style="223" customWidth="1"/>
    <col min="8" max="8" width="22.125" style="223" customWidth="1"/>
    <col min="9" max="10" width="9.5" style="223" customWidth="1"/>
    <col min="11" max="11" width="10.875" style="223" customWidth="1"/>
    <col min="12" max="12" width="13.375" style="223" customWidth="1"/>
    <col min="13" max="13" width="9" style="223"/>
    <col min="14" max="14" width="15.5" style="223" customWidth="1"/>
    <col min="15" max="15" width="9.5" style="223" customWidth="1"/>
    <col min="16" max="17" width="9" style="223"/>
    <col min="18" max="18" width="10.875" style="223" customWidth="1"/>
    <col min="19" max="20" width="9" style="223"/>
    <col min="21" max="21" width="19.5" style="223" customWidth="1"/>
    <col min="22" max="16384" width="9" style="223"/>
  </cols>
  <sheetData>
    <row r="1" s="216" customFormat="1" customHeight="1" spans="1:12">
      <c r="A1" s="224" t="s">
        <v>828</v>
      </c>
      <c r="B1" s="225"/>
      <c r="C1" s="225"/>
      <c r="D1" s="225"/>
      <c r="E1" s="225"/>
      <c r="F1" s="225"/>
      <c r="G1" s="224" t="s">
        <v>828</v>
      </c>
      <c r="H1" s="225"/>
      <c r="I1" s="225"/>
      <c r="J1" s="225"/>
      <c r="K1" s="225"/>
      <c r="L1" s="225"/>
    </row>
    <row r="2" s="216" customFormat="1" customHeight="1" spans="1:12">
      <c r="A2" s="226" t="s">
        <v>829</v>
      </c>
      <c r="B2" s="226"/>
      <c r="C2" s="226"/>
      <c r="D2" s="226"/>
      <c r="E2" s="226"/>
      <c r="F2" s="226"/>
      <c r="G2" s="226" t="s">
        <v>830</v>
      </c>
      <c r="H2" s="226"/>
      <c r="I2" s="226"/>
      <c r="J2" s="226"/>
      <c r="K2" s="226"/>
      <c r="L2" s="226"/>
    </row>
    <row r="3" s="216" customFormat="1" customHeight="1" spans="1:12">
      <c r="A3" s="227" t="s">
        <v>831</v>
      </c>
      <c r="B3" s="228"/>
      <c r="C3" s="229"/>
      <c r="D3" s="229"/>
      <c r="E3" s="228" t="s">
        <v>832</v>
      </c>
      <c r="F3" s="228"/>
      <c r="G3" s="227" t="s">
        <v>833</v>
      </c>
      <c r="H3" s="228"/>
      <c r="I3" s="229"/>
      <c r="J3" s="229"/>
      <c r="K3" s="228" t="s">
        <v>832</v>
      </c>
      <c r="L3" s="228"/>
    </row>
    <row r="4" s="216" customFormat="1" customHeight="1" spans="1:12">
      <c r="A4" s="11" t="s">
        <v>834</v>
      </c>
      <c r="B4" s="7"/>
      <c r="C4" s="11"/>
      <c r="D4" s="11"/>
      <c r="E4" s="11"/>
      <c r="F4" s="11"/>
      <c r="G4" s="11" t="s">
        <v>834</v>
      </c>
      <c r="H4" s="7"/>
      <c r="I4" s="11"/>
      <c r="J4" s="11"/>
      <c r="K4" s="11"/>
      <c r="L4" s="11"/>
    </row>
    <row r="5" s="216" customFormat="1" customHeight="1" spans="1:12">
      <c r="A5" s="7" t="s">
        <v>104</v>
      </c>
      <c r="B5" s="7" t="s">
        <v>835</v>
      </c>
      <c r="C5" s="7" t="s">
        <v>159</v>
      </c>
      <c r="D5" s="7" t="s">
        <v>422</v>
      </c>
      <c r="E5" s="7" t="s">
        <v>160</v>
      </c>
      <c r="F5" s="7" t="s">
        <v>18</v>
      </c>
      <c r="G5" s="7" t="s">
        <v>104</v>
      </c>
      <c r="H5" s="7" t="s">
        <v>835</v>
      </c>
      <c r="I5" s="7" t="s">
        <v>159</v>
      </c>
      <c r="J5" s="7" t="s">
        <v>422</v>
      </c>
      <c r="K5" s="7" t="s">
        <v>160</v>
      </c>
      <c r="L5" s="7" t="s">
        <v>18</v>
      </c>
    </row>
    <row r="6" s="216" customFormat="1" customHeight="1" spans="1:12">
      <c r="A6" s="7" t="s">
        <v>836</v>
      </c>
      <c r="B6" s="7" t="s">
        <v>837</v>
      </c>
      <c r="C6" s="7"/>
      <c r="D6" s="7"/>
      <c r="E6" s="7"/>
      <c r="F6" s="34">
        <f>F7+F13+F14</f>
        <v>785.23236096</v>
      </c>
      <c r="G6" s="7" t="s">
        <v>836</v>
      </c>
      <c r="H6" s="7" t="s">
        <v>837</v>
      </c>
      <c r="I6" s="7"/>
      <c r="J6" s="7"/>
      <c r="K6" s="7"/>
      <c r="L6" s="34">
        <f>L7+L13+L14</f>
        <v>268.7220816</v>
      </c>
    </row>
    <row r="7" s="216" customFormat="1" customHeight="1" spans="1:12">
      <c r="A7" s="7" t="s">
        <v>539</v>
      </c>
      <c r="B7" s="7" t="s">
        <v>838</v>
      </c>
      <c r="C7" s="7"/>
      <c r="D7" s="7"/>
      <c r="E7" s="7"/>
      <c r="F7" s="34">
        <f>F8+F11+F12</f>
        <v>749.26752</v>
      </c>
      <c r="G7" s="7" t="s">
        <v>539</v>
      </c>
      <c r="H7" s="7" t="s">
        <v>838</v>
      </c>
      <c r="I7" s="7"/>
      <c r="J7" s="7"/>
      <c r="K7" s="7"/>
      <c r="L7" s="34">
        <f>L8+L11+L12</f>
        <v>256.4142</v>
      </c>
    </row>
    <row r="8" s="216" customFormat="1" customHeight="1" spans="1:12">
      <c r="A8" s="7">
        <v>1</v>
      </c>
      <c r="B8" s="7" t="s">
        <v>839</v>
      </c>
      <c r="C8" s="7" t="s">
        <v>840</v>
      </c>
      <c r="D8" s="69"/>
      <c r="E8" s="42">
        <f>SUM(E9:E10)</f>
        <v>126.3</v>
      </c>
      <c r="F8" s="69">
        <f>SUM(F9:F10)</f>
        <v>734.576</v>
      </c>
      <c r="G8" s="7">
        <v>1</v>
      </c>
      <c r="H8" s="7" t="s">
        <v>839</v>
      </c>
      <c r="I8" s="7" t="s">
        <v>840</v>
      </c>
      <c r="J8" s="69"/>
      <c r="K8" s="42">
        <f>SUM(K9:K10)</f>
        <v>42</v>
      </c>
      <c r="L8" s="69">
        <f>SUM(L9:L10)</f>
        <v>244.204</v>
      </c>
    </row>
    <row r="9" s="217" customFormat="1" customHeight="1" spans="1:12">
      <c r="A9" s="7"/>
      <c r="B9" s="7" t="s">
        <v>841</v>
      </c>
      <c r="C9" s="7" t="s">
        <v>840</v>
      </c>
      <c r="D9" s="69">
        <f>材料预算价!K29</f>
        <v>8.1</v>
      </c>
      <c r="E9" s="42">
        <v>2.5</v>
      </c>
      <c r="F9" s="69">
        <f>D9*E9</f>
        <v>20.25</v>
      </c>
      <c r="G9" s="7"/>
      <c r="H9" s="7" t="s">
        <v>841</v>
      </c>
      <c r="I9" s="7" t="s">
        <v>840</v>
      </c>
      <c r="J9" s="69">
        <f>D9</f>
        <v>8.1</v>
      </c>
      <c r="K9" s="42">
        <v>0.8</v>
      </c>
      <c r="L9" s="69">
        <f>J9*K9</f>
        <v>6.48</v>
      </c>
    </row>
    <row r="10" s="217" customFormat="1" customHeight="1" spans="1:12">
      <c r="A10" s="7"/>
      <c r="B10" s="7" t="s">
        <v>842</v>
      </c>
      <c r="C10" s="7" t="s">
        <v>840</v>
      </c>
      <c r="D10" s="69">
        <f>材料预算价!K28</f>
        <v>5.77</v>
      </c>
      <c r="E10" s="42">
        <v>123.8</v>
      </c>
      <c r="F10" s="69">
        <f>D10*E10</f>
        <v>714.326</v>
      </c>
      <c r="G10" s="7"/>
      <c r="H10" s="7" t="s">
        <v>842</v>
      </c>
      <c r="I10" s="7" t="s">
        <v>840</v>
      </c>
      <c r="J10" s="69">
        <f>D10</f>
        <v>5.77</v>
      </c>
      <c r="K10" s="42">
        <v>41.2</v>
      </c>
      <c r="L10" s="69">
        <f>J10*K10</f>
        <v>237.724</v>
      </c>
    </row>
    <row r="11" s="216" customFormat="1" customHeight="1" spans="1:12">
      <c r="A11" s="7">
        <v>2</v>
      </c>
      <c r="B11" s="7" t="s">
        <v>843</v>
      </c>
      <c r="C11" s="7"/>
      <c r="D11" s="7"/>
      <c r="E11" s="7"/>
      <c r="F11" s="69">
        <v>0</v>
      </c>
      <c r="G11" s="7">
        <v>2</v>
      </c>
      <c r="H11" s="7" t="s">
        <v>843</v>
      </c>
      <c r="I11" s="7"/>
      <c r="J11" s="7"/>
      <c r="K11" s="7"/>
      <c r="L11" s="69">
        <v>0</v>
      </c>
    </row>
    <row r="12" s="216" customFormat="1" customHeight="1" spans="1:12">
      <c r="A12" s="7">
        <v>3</v>
      </c>
      <c r="B12" s="7" t="s">
        <v>844</v>
      </c>
      <c r="C12" s="9" t="s">
        <v>845</v>
      </c>
      <c r="D12" s="34">
        <f>F8</f>
        <v>734.576</v>
      </c>
      <c r="E12" s="7">
        <v>2</v>
      </c>
      <c r="F12" s="69">
        <f>D12*E12/100</f>
        <v>14.69152</v>
      </c>
      <c r="G12" s="7">
        <v>3</v>
      </c>
      <c r="H12" s="7" t="s">
        <v>844</v>
      </c>
      <c r="I12" s="9" t="s">
        <v>845</v>
      </c>
      <c r="J12" s="34">
        <f>L8</f>
        <v>244.204</v>
      </c>
      <c r="K12" s="7">
        <v>5</v>
      </c>
      <c r="L12" s="69">
        <f>J12*K12/100</f>
        <v>12.2102</v>
      </c>
    </row>
    <row r="13" s="216" customFormat="1" customHeight="1" spans="1:12">
      <c r="A13" s="8" t="s">
        <v>564</v>
      </c>
      <c r="B13" s="7" t="s">
        <v>846</v>
      </c>
      <c r="C13" s="230">
        <f>取费表!$C$4</f>
        <v>0.048</v>
      </c>
      <c r="D13" s="8"/>
      <c r="E13" s="34">
        <f>F8+F11+F12</f>
        <v>749.26752</v>
      </c>
      <c r="F13" s="69">
        <f>E13*C13</f>
        <v>35.96484096</v>
      </c>
      <c r="G13" s="8" t="s">
        <v>564</v>
      </c>
      <c r="H13" s="7" t="s">
        <v>846</v>
      </c>
      <c r="I13" s="230">
        <f>取费表!$C$4</f>
        <v>0.048</v>
      </c>
      <c r="J13" s="8"/>
      <c r="K13" s="34">
        <f>L8+L11+L12</f>
        <v>256.4142</v>
      </c>
      <c r="L13" s="69">
        <f t="shared" ref="L13:L17" si="0">K13*I13</f>
        <v>12.3078816</v>
      </c>
    </row>
    <row r="14" s="216" customFormat="1" customHeight="1" spans="1:12">
      <c r="A14" s="8"/>
      <c r="B14" s="7"/>
      <c r="C14" s="230"/>
      <c r="D14" s="8"/>
      <c r="E14" s="34"/>
      <c r="F14" s="69"/>
      <c r="G14" s="8"/>
      <c r="H14" s="7"/>
      <c r="I14" s="230"/>
      <c r="J14" s="8"/>
      <c r="K14" s="34"/>
      <c r="L14" s="69"/>
    </row>
    <row r="15" s="216" customFormat="1" customHeight="1" spans="1:12">
      <c r="A15" s="7" t="s">
        <v>439</v>
      </c>
      <c r="B15" s="7" t="s">
        <v>847</v>
      </c>
      <c r="C15" s="230">
        <f>取费表!$E$4</f>
        <v>0.04</v>
      </c>
      <c r="D15" s="8"/>
      <c r="E15" s="34">
        <f>F6</f>
        <v>785.23236096</v>
      </c>
      <c r="F15" s="69">
        <f>E15*C15</f>
        <v>31.4092944384</v>
      </c>
      <c r="G15" s="7" t="s">
        <v>439</v>
      </c>
      <c r="H15" s="7" t="s">
        <v>847</v>
      </c>
      <c r="I15" s="230">
        <f>取费表!$E$4</f>
        <v>0.04</v>
      </c>
      <c r="J15" s="8"/>
      <c r="K15" s="34">
        <f>L6</f>
        <v>268.7220816</v>
      </c>
      <c r="L15" s="69">
        <f t="shared" si="0"/>
        <v>10.748883264</v>
      </c>
    </row>
    <row r="16" s="216" customFormat="1" customHeight="1" spans="1:12">
      <c r="A16" s="7" t="s">
        <v>83</v>
      </c>
      <c r="B16" s="7" t="s">
        <v>848</v>
      </c>
      <c r="C16" s="230">
        <f>取费表!$F$4</f>
        <v>0.05</v>
      </c>
      <c r="D16" s="8"/>
      <c r="E16" s="34">
        <f>F15+F6</f>
        <v>816.6416553984</v>
      </c>
      <c r="F16" s="69">
        <f>E16*C16</f>
        <v>40.83208276992</v>
      </c>
      <c r="G16" s="7" t="s">
        <v>83</v>
      </c>
      <c r="H16" s="7" t="s">
        <v>848</v>
      </c>
      <c r="I16" s="230">
        <f>取费表!$F$4</f>
        <v>0.05</v>
      </c>
      <c r="J16" s="8"/>
      <c r="K16" s="34">
        <f>L15+L6</f>
        <v>279.470964864</v>
      </c>
      <c r="L16" s="69">
        <f t="shared" si="0"/>
        <v>13.9735482432</v>
      </c>
    </row>
    <row r="17" s="216" customFormat="1" customHeight="1" spans="1:12">
      <c r="A17" s="7" t="s">
        <v>121</v>
      </c>
      <c r="B17" s="7" t="s">
        <v>849</v>
      </c>
      <c r="C17" s="231">
        <f>取费表!G4</f>
        <v>0.09</v>
      </c>
      <c r="D17" s="8"/>
      <c r="E17" s="34">
        <f>F16+F15+F6</f>
        <v>857.47373816832</v>
      </c>
      <c r="F17" s="69">
        <f>E17*C17</f>
        <v>77.1726364351488</v>
      </c>
      <c r="G17" s="7" t="s">
        <v>121</v>
      </c>
      <c r="H17" s="7" t="s">
        <v>849</v>
      </c>
      <c r="I17" s="231">
        <f>C17</f>
        <v>0.09</v>
      </c>
      <c r="J17" s="8"/>
      <c r="K17" s="34">
        <f>L16+L15+L6</f>
        <v>293.4445131072</v>
      </c>
      <c r="L17" s="69">
        <f t="shared" si="0"/>
        <v>26.410006179648</v>
      </c>
    </row>
    <row r="18" s="216" customFormat="1" customHeight="1" spans="1:12">
      <c r="A18" s="7"/>
      <c r="B18" s="7" t="s">
        <v>850</v>
      </c>
      <c r="C18" s="231"/>
      <c r="D18" s="8"/>
      <c r="E18" s="34"/>
      <c r="F18" s="69">
        <f>(F6+F15+F16+F17)*取费表!H4</f>
        <v>28.0393912381041</v>
      </c>
      <c r="G18" s="7"/>
      <c r="H18" s="7" t="s">
        <v>850</v>
      </c>
      <c r="I18" s="231"/>
      <c r="J18" s="8"/>
      <c r="K18" s="34"/>
      <c r="L18" s="69">
        <f>(L6+L15+L16+L17)*取费表!H4</f>
        <v>9.59563557860544</v>
      </c>
    </row>
    <row r="19" s="216" customFormat="1" customHeight="1" spans="1:12">
      <c r="A19" s="8"/>
      <c r="B19" s="7" t="s">
        <v>156</v>
      </c>
      <c r="C19" s="8"/>
      <c r="D19" s="8"/>
      <c r="E19" s="7"/>
      <c r="F19" s="69">
        <f>F6+F15+F16+F17+F18</f>
        <v>962.685765841573</v>
      </c>
      <c r="G19" s="8"/>
      <c r="H19" s="7" t="s">
        <v>156</v>
      </c>
      <c r="I19" s="8"/>
      <c r="J19" s="8"/>
      <c r="K19" s="7"/>
      <c r="L19" s="69">
        <f>L6+L15+L16+L17+L18</f>
        <v>329.450154865453</v>
      </c>
    </row>
    <row r="20" s="216" customFormat="1" customHeight="1" spans="1:6">
      <c r="A20" s="224" t="s">
        <v>828</v>
      </c>
      <c r="B20" s="225"/>
      <c r="C20" s="225"/>
      <c r="D20" s="225"/>
      <c r="E20" s="225"/>
      <c r="F20" s="225"/>
    </row>
    <row r="21" s="216" customFormat="1" customHeight="1" spans="1:6">
      <c r="A21" s="226" t="s">
        <v>851</v>
      </c>
      <c r="B21" s="226"/>
      <c r="C21" s="226"/>
      <c r="D21" s="226"/>
      <c r="E21" s="226"/>
      <c r="F21" s="226"/>
    </row>
    <row r="22" s="216" customFormat="1" customHeight="1" spans="1:6">
      <c r="A22" s="227" t="s">
        <v>831</v>
      </c>
      <c r="B22" s="228"/>
      <c r="C22" s="229"/>
      <c r="D22" s="229"/>
      <c r="E22" s="228" t="s">
        <v>832</v>
      </c>
      <c r="F22" s="228"/>
    </row>
    <row r="23" s="216" customFormat="1" customHeight="1" spans="1:6">
      <c r="A23" s="232" t="s">
        <v>852</v>
      </c>
      <c r="B23" s="233"/>
      <c r="C23" s="234"/>
      <c r="D23" s="234"/>
      <c r="E23" s="234"/>
      <c r="F23" s="235"/>
    </row>
    <row r="24" s="216" customFormat="1" customHeight="1" spans="1:6">
      <c r="A24" s="7" t="s">
        <v>104</v>
      </c>
      <c r="B24" s="7" t="s">
        <v>835</v>
      </c>
      <c r="C24" s="7" t="s">
        <v>159</v>
      </c>
      <c r="D24" s="7" t="s">
        <v>422</v>
      </c>
      <c r="E24" s="7" t="s">
        <v>160</v>
      </c>
      <c r="F24" s="7" t="s">
        <v>18</v>
      </c>
    </row>
    <row r="25" s="216" customFormat="1" customHeight="1" spans="1:6">
      <c r="A25" s="7" t="s">
        <v>836</v>
      </c>
      <c r="B25" s="7" t="s">
        <v>837</v>
      </c>
      <c r="C25" s="7"/>
      <c r="D25" s="7"/>
      <c r="E25" s="7"/>
      <c r="F25" s="34">
        <f>F26+F32+F33</f>
        <v>1362.34569264</v>
      </c>
    </row>
    <row r="26" s="216" customFormat="1" customHeight="1" spans="1:6">
      <c r="A26" s="7" t="s">
        <v>539</v>
      </c>
      <c r="B26" s="7" t="s">
        <v>838</v>
      </c>
      <c r="C26" s="7"/>
      <c r="D26" s="7"/>
      <c r="E26" s="7"/>
      <c r="F26" s="34">
        <f>F27+F30+F31</f>
        <v>1299.94818</v>
      </c>
    </row>
    <row r="27" s="216" customFormat="1" customHeight="1" spans="1:6">
      <c r="A27" s="7">
        <v>1</v>
      </c>
      <c r="B27" s="7" t="s">
        <v>839</v>
      </c>
      <c r="C27" s="7" t="s">
        <v>840</v>
      </c>
      <c r="D27" s="69"/>
      <c r="E27" s="42">
        <f>SUM(E28:E29)</f>
        <v>219.1</v>
      </c>
      <c r="F27" s="69">
        <f>SUM(F28:F29)</f>
        <v>1274.459</v>
      </c>
    </row>
    <row r="28" s="217" customFormat="1" customHeight="1" spans="1:6">
      <c r="A28" s="7"/>
      <c r="B28" s="7" t="s">
        <v>841</v>
      </c>
      <c r="C28" s="7" t="s">
        <v>840</v>
      </c>
      <c r="D28" s="69">
        <f>D9</f>
        <v>8.1</v>
      </c>
      <c r="E28" s="42">
        <v>4.4</v>
      </c>
      <c r="F28" s="69">
        <f>D28*E28</f>
        <v>35.64</v>
      </c>
    </row>
    <row r="29" s="217" customFormat="1" customHeight="1" spans="1:6">
      <c r="A29" s="7"/>
      <c r="B29" s="7" t="s">
        <v>842</v>
      </c>
      <c r="C29" s="7" t="s">
        <v>840</v>
      </c>
      <c r="D29" s="69">
        <f>D10</f>
        <v>5.77</v>
      </c>
      <c r="E29" s="42">
        <v>214.7</v>
      </c>
      <c r="F29" s="69">
        <f>D29*E29</f>
        <v>1238.819</v>
      </c>
    </row>
    <row r="30" s="216" customFormat="1" customHeight="1" spans="1:6">
      <c r="A30" s="7">
        <v>2</v>
      </c>
      <c r="B30" s="7" t="s">
        <v>843</v>
      </c>
      <c r="C30" s="7"/>
      <c r="D30" s="7"/>
      <c r="E30" s="7"/>
      <c r="F30" s="69">
        <v>0</v>
      </c>
    </row>
    <row r="31" s="216" customFormat="1" customHeight="1" spans="1:6">
      <c r="A31" s="7">
        <v>3</v>
      </c>
      <c r="B31" s="7" t="s">
        <v>844</v>
      </c>
      <c r="C31" s="9" t="s">
        <v>845</v>
      </c>
      <c r="D31" s="34">
        <f>F27</f>
        <v>1274.459</v>
      </c>
      <c r="E31" s="7">
        <v>2</v>
      </c>
      <c r="F31" s="69">
        <f>D31*E31/100</f>
        <v>25.48918</v>
      </c>
    </row>
    <row r="32" s="216" customFormat="1" customHeight="1" spans="1:6">
      <c r="A32" s="7" t="s">
        <v>564</v>
      </c>
      <c r="B32" s="7" t="s">
        <v>846</v>
      </c>
      <c r="C32" s="230">
        <f>取费表!$C$4</f>
        <v>0.048</v>
      </c>
      <c r="D32" s="7"/>
      <c r="E32" s="34">
        <f>F26</f>
        <v>1299.94818</v>
      </c>
      <c r="F32" s="69">
        <f>E32*C32</f>
        <v>62.39751264</v>
      </c>
    </row>
    <row r="33" s="216" customFormat="1" customHeight="1" spans="1:6">
      <c r="A33" s="7"/>
      <c r="B33" s="7"/>
      <c r="C33" s="230"/>
      <c r="D33" s="7"/>
      <c r="E33" s="34"/>
      <c r="F33" s="69"/>
    </row>
    <row r="34" s="216" customFormat="1" customHeight="1" spans="1:6">
      <c r="A34" s="7" t="s">
        <v>439</v>
      </c>
      <c r="B34" s="7" t="s">
        <v>847</v>
      </c>
      <c r="C34" s="230">
        <f>取费表!$E$4</f>
        <v>0.04</v>
      </c>
      <c r="D34" s="7"/>
      <c r="E34" s="34">
        <f>F25</f>
        <v>1362.34569264</v>
      </c>
      <c r="F34" s="69">
        <f>E34*C34</f>
        <v>54.4938277056</v>
      </c>
    </row>
    <row r="35" s="216" customFormat="1" customHeight="1" spans="1:6">
      <c r="A35" s="7" t="s">
        <v>83</v>
      </c>
      <c r="B35" s="7" t="s">
        <v>848</v>
      </c>
      <c r="C35" s="230">
        <f>取费表!$F$4</f>
        <v>0.05</v>
      </c>
      <c r="D35" s="7"/>
      <c r="E35" s="34">
        <f>F34+F25</f>
        <v>1416.8395203456</v>
      </c>
      <c r="F35" s="69">
        <f>E35*C35</f>
        <v>70.84197601728</v>
      </c>
    </row>
    <row r="36" s="216" customFormat="1" customHeight="1" spans="1:6">
      <c r="A36" s="7" t="s">
        <v>121</v>
      </c>
      <c r="B36" s="7" t="s">
        <v>849</v>
      </c>
      <c r="C36" s="231">
        <f>C17</f>
        <v>0.09</v>
      </c>
      <c r="D36" s="7"/>
      <c r="E36" s="34">
        <f>F35+F34+F25</f>
        <v>1487.68149636288</v>
      </c>
      <c r="F36" s="69">
        <f>E36*C36</f>
        <v>133.891334672659</v>
      </c>
    </row>
    <row r="37" s="216" customFormat="1" customHeight="1" spans="1:6">
      <c r="A37" s="7"/>
      <c r="B37" s="7" t="s">
        <v>850</v>
      </c>
      <c r="C37" s="231"/>
      <c r="D37" s="7"/>
      <c r="E37" s="34"/>
      <c r="F37" s="69">
        <f>(F25+F34+F35+F36)*取费表!H4</f>
        <v>48.6471849310662</v>
      </c>
    </row>
    <row r="38" s="216" customFormat="1" customHeight="1" spans="1:6">
      <c r="A38" s="7"/>
      <c r="B38" s="7" t="s">
        <v>156</v>
      </c>
      <c r="C38" s="7"/>
      <c r="D38" s="7"/>
      <c r="E38" s="7"/>
      <c r="F38" s="69">
        <f>F25+F34+F35+F36+F37</f>
        <v>1670.22001596661</v>
      </c>
    </row>
    <row r="39" s="216" customFormat="1" ht="15.6" customHeight="1" spans="1:12">
      <c r="A39" s="236" t="s">
        <v>828</v>
      </c>
      <c r="B39" s="237"/>
      <c r="C39" s="236"/>
      <c r="D39" s="236"/>
      <c r="E39" s="236"/>
      <c r="F39" s="236"/>
      <c r="G39" s="236" t="s">
        <v>828</v>
      </c>
      <c r="H39" s="237"/>
      <c r="I39" s="236"/>
      <c r="J39" s="236"/>
      <c r="K39" s="236"/>
      <c r="L39" s="236"/>
    </row>
    <row r="40" s="216" customFormat="1" ht="15.6" customHeight="1" spans="1:12">
      <c r="A40" s="238" t="s">
        <v>853</v>
      </c>
      <c r="B40" s="238"/>
      <c r="C40" s="238"/>
      <c r="D40" s="238"/>
      <c r="E40" s="238"/>
      <c r="F40" s="238"/>
      <c r="G40" s="239" t="s">
        <v>854</v>
      </c>
      <c r="H40" s="238"/>
      <c r="I40" s="238"/>
      <c r="J40" s="238"/>
      <c r="K40" s="238"/>
      <c r="L40" s="238"/>
    </row>
    <row r="41" s="216" customFormat="1" ht="15.6" customHeight="1" spans="1:12">
      <c r="A41" s="227" t="s">
        <v>855</v>
      </c>
      <c r="B41" s="228"/>
      <c r="C41" s="228"/>
      <c r="D41" s="228"/>
      <c r="E41" s="228" t="s">
        <v>832</v>
      </c>
      <c r="F41" s="228"/>
      <c r="G41" s="227" t="s">
        <v>856</v>
      </c>
      <c r="H41" s="228"/>
      <c r="I41" s="228"/>
      <c r="J41" s="228"/>
      <c r="K41" s="228" t="s">
        <v>857</v>
      </c>
      <c r="L41" s="228"/>
    </row>
    <row r="42" s="216" customFormat="1" ht="15.6" customHeight="1" spans="1:12">
      <c r="A42" s="232" t="s">
        <v>858</v>
      </c>
      <c r="B42" s="233"/>
      <c r="C42" s="233"/>
      <c r="D42" s="233"/>
      <c r="E42" s="233"/>
      <c r="F42" s="147"/>
      <c r="G42" s="232" t="s">
        <v>858</v>
      </c>
      <c r="H42" s="233"/>
      <c r="I42" s="233"/>
      <c r="J42" s="233"/>
      <c r="K42" s="233"/>
      <c r="L42" s="147"/>
    </row>
    <row r="43" s="216" customFormat="1" ht="15.6" customHeight="1" spans="1:12">
      <c r="A43" s="7" t="s">
        <v>104</v>
      </c>
      <c r="B43" s="7" t="s">
        <v>835</v>
      </c>
      <c r="C43" s="7" t="s">
        <v>159</v>
      </c>
      <c r="D43" s="7" t="s">
        <v>422</v>
      </c>
      <c r="E43" s="7" t="s">
        <v>160</v>
      </c>
      <c r="F43" s="7" t="s">
        <v>18</v>
      </c>
      <c r="G43" s="7" t="s">
        <v>104</v>
      </c>
      <c r="H43" s="7" t="s">
        <v>835</v>
      </c>
      <c r="I43" s="7" t="s">
        <v>159</v>
      </c>
      <c r="J43" s="7" t="s">
        <v>422</v>
      </c>
      <c r="K43" s="7" t="s">
        <v>160</v>
      </c>
      <c r="L43" s="7" t="s">
        <v>18</v>
      </c>
    </row>
    <row r="44" s="216" customFormat="1" ht="15.6" customHeight="1" spans="1:12">
      <c r="A44" s="7" t="s">
        <v>836</v>
      </c>
      <c r="B44" s="7" t="s">
        <v>837</v>
      </c>
      <c r="C44" s="7"/>
      <c r="D44" s="7"/>
      <c r="E44" s="7"/>
      <c r="F44" s="34">
        <f>F45+F52+F53</f>
        <v>128.187063380589</v>
      </c>
      <c r="G44" s="7" t="s">
        <v>836</v>
      </c>
      <c r="H44" s="7" t="s">
        <v>837</v>
      </c>
      <c r="I44" s="7"/>
      <c r="J44" s="7"/>
      <c r="K44" s="7"/>
      <c r="L44" s="34">
        <f>L45+L52+L53</f>
        <v>36.9238930920048</v>
      </c>
    </row>
    <row r="45" s="216" customFormat="1" ht="15.6" customHeight="1" spans="1:12">
      <c r="A45" s="7" t="s">
        <v>539</v>
      </c>
      <c r="B45" s="7" t="s">
        <v>838</v>
      </c>
      <c r="C45" s="7"/>
      <c r="D45" s="7"/>
      <c r="E45" s="7"/>
      <c r="F45" s="34">
        <f>F46+F49+F51</f>
        <v>122.315900172317</v>
      </c>
      <c r="G45" s="7" t="s">
        <v>539</v>
      </c>
      <c r="H45" s="7" t="s">
        <v>838</v>
      </c>
      <c r="I45" s="7"/>
      <c r="J45" s="7"/>
      <c r="K45" s="7"/>
      <c r="L45" s="34">
        <f>L46+L49+L51</f>
        <v>35.2327224160351</v>
      </c>
    </row>
    <row r="46" s="216" customFormat="1" ht="15.6" customHeight="1" spans="1:12">
      <c r="A46" s="7">
        <v>1</v>
      </c>
      <c r="B46" s="7" t="s">
        <v>839</v>
      </c>
      <c r="C46" s="7" t="s">
        <v>840</v>
      </c>
      <c r="D46" s="69"/>
      <c r="E46" s="69">
        <f>SUM(E47:E48)</f>
        <v>1.6</v>
      </c>
      <c r="F46" s="69">
        <f>SUM(F47:F48)</f>
        <v>9.232</v>
      </c>
      <c r="G46" s="7">
        <v>1</v>
      </c>
      <c r="H46" s="7" t="s">
        <v>839</v>
      </c>
      <c r="I46" s="7" t="s">
        <v>840</v>
      </c>
      <c r="J46" s="69"/>
      <c r="K46" s="69">
        <f>SUM(K47:K48)</f>
        <v>0.7</v>
      </c>
      <c r="L46" s="69">
        <f>SUM(L47:L48)</f>
        <v>4.039</v>
      </c>
    </row>
    <row r="47" s="216" customFormat="1" ht="15.6" customHeight="1" spans="1:12">
      <c r="A47" s="7"/>
      <c r="B47" s="7" t="s">
        <v>841</v>
      </c>
      <c r="C47" s="7" t="s">
        <v>840</v>
      </c>
      <c r="D47" s="69">
        <f>D28</f>
        <v>8.1</v>
      </c>
      <c r="E47" s="69">
        <v>0</v>
      </c>
      <c r="F47" s="69">
        <f>D47*E47</f>
        <v>0</v>
      </c>
      <c r="G47" s="7"/>
      <c r="H47" s="7" t="s">
        <v>841</v>
      </c>
      <c r="I47" s="7" t="s">
        <v>840</v>
      </c>
      <c r="J47" s="69">
        <f>D47</f>
        <v>8.1</v>
      </c>
      <c r="K47" s="69">
        <v>0</v>
      </c>
      <c r="L47" s="69">
        <f t="shared" ref="L47:L50" si="1">J47*K47</f>
        <v>0</v>
      </c>
    </row>
    <row r="48" s="216" customFormat="1" ht="15.6" customHeight="1" spans="1:12">
      <c r="A48" s="7"/>
      <c r="B48" s="7" t="s">
        <v>842</v>
      </c>
      <c r="C48" s="7" t="s">
        <v>840</v>
      </c>
      <c r="D48" s="69">
        <f>D29</f>
        <v>5.77</v>
      </c>
      <c r="E48" s="69">
        <v>1.6</v>
      </c>
      <c r="F48" s="69">
        <f>D48*E48</f>
        <v>9.232</v>
      </c>
      <c r="G48" s="7"/>
      <c r="H48" s="7" t="s">
        <v>842</v>
      </c>
      <c r="I48" s="7" t="s">
        <v>840</v>
      </c>
      <c r="J48" s="69">
        <f>D48</f>
        <v>5.77</v>
      </c>
      <c r="K48" s="69">
        <v>0.7</v>
      </c>
      <c r="L48" s="69">
        <f t="shared" si="1"/>
        <v>4.039</v>
      </c>
    </row>
    <row r="49" s="216" customFormat="1" ht="15.6" customHeight="1" spans="1:12">
      <c r="A49" s="7">
        <v>2</v>
      </c>
      <c r="B49" s="7" t="s">
        <v>859</v>
      </c>
      <c r="C49" s="7"/>
      <c r="D49" s="7"/>
      <c r="E49" s="7"/>
      <c r="F49" s="69">
        <f>F50</f>
        <v>101.964272883925</v>
      </c>
      <c r="G49" s="7">
        <v>2</v>
      </c>
      <c r="H49" s="7" t="s">
        <v>859</v>
      </c>
      <c r="I49" s="7"/>
      <c r="J49" s="7"/>
      <c r="K49" s="7"/>
      <c r="L49" s="69">
        <f>L50</f>
        <v>29.5159737295572</v>
      </c>
    </row>
    <row r="50" s="216" customFormat="1" ht="15.6" customHeight="1" spans="1:12">
      <c r="A50" s="7"/>
      <c r="B50" s="7" t="s">
        <v>860</v>
      </c>
      <c r="C50" s="7" t="s">
        <v>428</v>
      </c>
      <c r="D50" s="69">
        <f>D94</f>
        <v>89.4423446350219</v>
      </c>
      <c r="E50" s="7">
        <v>1.14</v>
      </c>
      <c r="F50" s="69">
        <f>D50*E50</f>
        <v>101.964272883925</v>
      </c>
      <c r="G50" s="7"/>
      <c r="H50" s="7" t="s">
        <v>860</v>
      </c>
      <c r="I50" s="7" t="s">
        <v>428</v>
      </c>
      <c r="J50" s="69">
        <f>D50</f>
        <v>89.4423446350219</v>
      </c>
      <c r="K50" s="7">
        <v>0.33</v>
      </c>
      <c r="L50" s="69">
        <f t="shared" si="1"/>
        <v>29.5159737295572</v>
      </c>
    </row>
    <row r="51" s="216" customFormat="1" ht="15.6" customHeight="1" spans="1:12">
      <c r="A51" s="7">
        <v>3</v>
      </c>
      <c r="B51" s="7" t="s">
        <v>844</v>
      </c>
      <c r="C51" s="9" t="s">
        <v>845</v>
      </c>
      <c r="D51" s="34">
        <f>F46+F49</f>
        <v>111.196272883925</v>
      </c>
      <c r="E51" s="7">
        <v>10</v>
      </c>
      <c r="F51" s="69">
        <f>D51*E51/100</f>
        <v>11.1196272883925</v>
      </c>
      <c r="G51" s="7">
        <v>3</v>
      </c>
      <c r="H51" s="7" t="s">
        <v>844</v>
      </c>
      <c r="I51" s="9" t="s">
        <v>845</v>
      </c>
      <c r="J51" s="34">
        <f>L46+L49</f>
        <v>33.5549737295572</v>
      </c>
      <c r="K51" s="7">
        <v>5</v>
      </c>
      <c r="L51" s="69">
        <f>J51*K51/100</f>
        <v>1.67774868647786</v>
      </c>
    </row>
    <row r="52" s="216" customFormat="1" ht="15.6" customHeight="1" spans="1:12">
      <c r="A52" s="7" t="s">
        <v>564</v>
      </c>
      <c r="B52" s="7" t="s">
        <v>846</v>
      </c>
      <c r="C52" s="230">
        <f>取费表!$C$4</f>
        <v>0.048</v>
      </c>
      <c r="D52" s="7"/>
      <c r="E52" s="34">
        <f>F45</f>
        <v>122.315900172317</v>
      </c>
      <c r="F52" s="69">
        <f>E52*C52</f>
        <v>5.87116320827124</v>
      </c>
      <c r="G52" s="7" t="s">
        <v>564</v>
      </c>
      <c r="H52" s="7" t="s">
        <v>846</v>
      </c>
      <c r="I52" s="230">
        <f>取费表!$C$4</f>
        <v>0.048</v>
      </c>
      <c r="J52" s="7"/>
      <c r="K52" s="34">
        <f>L45</f>
        <v>35.2327224160351</v>
      </c>
      <c r="L52" s="69">
        <f t="shared" ref="L52:L55" si="2">K52*I52</f>
        <v>1.69117067596968</v>
      </c>
    </row>
    <row r="53" s="216" customFormat="1" ht="15.6" customHeight="1" spans="1:12">
      <c r="A53" s="7"/>
      <c r="B53" s="7"/>
      <c r="C53" s="230"/>
      <c r="D53" s="7"/>
      <c r="E53" s="34"/>
      <c r="F53" s="69"/>
      <c r="G53" s="7"/>
      <c r="H53" s="7"/>
      <c r="I53" s="230"/>
      <c r="J53" s="7"/>
      <c r="K53" s="34"/>
      <c r="L53" s="69"/>
    </row>
    <row r="54" s="216" customFormat="1" ht="15.6" customHeight="1" spans="1:12">
      <c r="A54" s="7" t="s">
        <v>439</v>
      </c>
      <c r="B54" s="7" t="s">
        <v>847</v>
      </c>
      <c r="C54" s="230">
        <f>取费表!$E$4</f>
        <v>0.04</v>
      </c>
      <c r="D54" s="7"/>
      <c r="E54" s="34">
        <f>F44</f>
        <v>128.187063380589</v>
      </c>
      <c r="F54" s="69">
        <f>E54*C54</f>
        <v>5.12748253522355</v>
      </c>
      <c r="G54" s="7" t="s">
        <v>439</v>
      </c>
      <c r="H54" s="7" t="s">
        <v>847</v>
      </c>
      <c r="I54" s="230">
        <f>取费表!$E$4</f>
        <v>0.04</v>
      </c>
      <c r="J54" s="7"/>
      <c r="K54" s="34">
        <f>L44</f>
        <v>36.9238930920048</v>
      </c>
      <c r="L54" s="69">
        <f t="shared" si="2"/>
        <v>1.47695572368019</v>
      </c>
    </row>
    <row r="55" s="216" customFormat="1" ht="15.6" customHeight="1" spans="1:12">
      <c r="A55" s="7" t="s">
        <v>83</v>
      </c>
      <c r="B55" s="7" t="s">
        <v>848</v>
      </c>
      <c r="C55" s="230">
        <f>取费表!$F$4</f>
        <v>0.05</v>
      </c>
      <c r="D55" s="7"/>
      <c r="E55" s="34">
        <f>F54+F44</f>
        <v>133.314545915812</v>
      </c>
      <c r="F55" s="69">
        <f>E55*C55</f>
        <v>6.66572729579061</v>
      </c>
      <c r="G55" s="7" t="s">
        <v>83</v>
      </c>
      <c r="H55" s="7" t="s">
        <v>848</v>
      </c>
      <c r="I55" s="230">
        <f>取费表!$F$4</f>
        <v>0.05</v>
      </c>
      <c r="J55" s="7"/>
      <c r="K55" s="34">
        <f>L54+L44</f>
        <v>38.400848815685</v>
      </c>
      <c r="L55" s="69">
        <f t="shared" si="2"/>
        <v>1.92004244078425</v>
      </c>
    </row>
    <row r="56" s="216" customFormat="1" ht="15.6" customHeight="1" spans="1:12">
      <c r="A56" s="7" t="s">
        <v>121</v>
      </c>
      <c r="B56" s="7" t="s">
        <v>861</v>
      </c>
      <c r="C56" s="9"/>
      <c r="D56" s="34"/>
      <c r="E56" s="7"/>
      <c r="F56" s="69">
        <f>F57</f>
        <v>55.34472</v>
      </c>
      <c r="G56" s="7" t="s">
        <v>121</v>
      </c>
      <c r="H56" s="7" t="s">
        <v>861</v>
      </c>
      <c r="I56" s="9"/>
      <c r="J56" s="34"/>
      <c r="K56" s="7"/>
      <c r="L56" s="69">
        <f>L57</f>
        <v>16.02084</v>
      </c>
    </row>
    <row r="57" s="216" customFormat="1" ht="15.6" customHeight="1" spans="1:12">
      <c r="A57" s="7"/>
      <c r="B57" s="7" t="s">
        <v>862</v>
      </c>
      <c r="C57" s="9" t="s">
        <v>863</v>
      </c>
      <c r="D57" s="34">
        <f>材料预算价!K11-材料预算价!L11</f>
        <v>4.58</v>
      </c>
      <c r="E57" s="38">
        <f>E50*台时!E14</f>
        <v>12.084</v>
      </c>
      <c r="F57" s="69">
        <f>E57*D57</f>
        <v>55.34472</v>
      </c>
      <c r="G57" s="7"/>
      <c r="H57" s="7" t="s">
        <v>862</v>
      </c>
      <c r="I57" s="9" t="s">
        <v>863</v>
      </c>
      <c r="J57" s="34">
        <f>D57</f>
        <v>4.58</v>
      </c>
      <c r="K57" s="38">
        <f>K50*10.6</f>
        <v>3.498</v>
      </c>
      <c r="L57" s="69">
        <f>K57*J57</f>
        <v>16.02084</v>
      </c>
    </row>
    <row r="58" s="216" customFormat="1" ht="15.6" customHeight="1" spans="1:12">
      <c r="A58" s="7" t="s">
        <v>135</v>
      </c>
      <c r="B58" s="7" t="s">
        <v>849</v>
      </c>
      <c r="C58" s="231">
        <f>C36</f>
        <v>0.09</v>
      </c>
      <c r="D58" s="7"/>
      <c r="E58" s="34">
        <f>F44+F54+F55+F56</f>
        <v>195.324993211603</v>
      </c>
      <c r="F58" s="69">
        <f>E58*C58</f>
        <v>17.5792493890443</v>
      </c>
      <c r="G58" s="7" t="s">
        <v>135</v>
      </c>
      <c r="H58" s="7" t="s">
        <v>849</v>
      </c>
      <c r="I58" s="231">
        <f>C58</f>
        <v>0.09</v>
      </c>
      <c r="J58" s="7"/>
      <c r="K58" s="34">
        <f>L44+L54+L55+L56</f>
        <v>56.3417312564692</v>
      </c>
      <c r="L58" s="69">
        <f>K58*I58</f>
        <v>5.07075581308223</v>
      </c>
    </row>
    <row r="59" s="216" customFormat="1" ht="15.6" customHeight="1" spans="1:12">
      <c r="A59" s="7"/>
      <c r="B59" s="7" t="s">
        <v>850</v>
      </c>
      <c r="C59" s="231"/>
      <c r="D59" s="7"/>
      <c r="E59" s="34"/>
      <c r="F59" s="69">
        <f>(F44+F54+F55+F56+F58)*取费表!H4</f>
        <v>6.38712727801942</v>
      </c>
      <c r="G59" s="7"/>
      <c r="H59" s="7" t="s">
        <v>850</v>
      </c>
      <c r="I59" s="231"/>
      <c r="J59" s="7"/>
      <c r="K59" s="34"/>
      <c r="L59" s="69">
        <f>(L44+L54+L55+L56+L58)*取费表!H4</f>
        <v>1.84237461208654</v>
      </c>
    </row>
    <row r="60" s="216" customFormat="1" ht="15.6" customHeight="1" spans="1:12">
      <c r="A60" s="7"/>
      <c r="B60" s="7" t="s">
        <v>156</v>
      </c>
      <c r="C60" s="7"/>
      <c r="D60" s="7"/>
      <c r="E60" s="7"/>
      <c r="F60" s="69">
        <f>F44+F54+F55+F56+F58+F59</f>
        <v>219.291369878667</v>
      </c>
      <c r="G60" s="7"/>
      <c r="H60" s="7" t="s">
        <v>156</v>
      </c>
      <c r="I60" s="7"/>
      <c r="J60" s="7"/>
      <c r="K60" s="7"/>
      <c r="L60" s="69">
        <f>L44+L54+L55+L56+L58+L59</f>
        <v>63.254861681638</v>
      </c>
    </row>
    <row r="61" s="216" customFormat="1" ht="15.6" customHeight="1" spans="1:6">
      <c r="A61" s="236" t="s">
        <v>828</v>
      </c>
      <c r="B61" s="237"/>
      <c r="C61" s="236"/>
      <c r="D61" s="236"/>
      <c r="E61" s="236"/>
      <c r="F61" s="236"/>
    </row>
    <row r="62" s="216" customFormat="1" ht="15.6" customHeight="1" spans="1:6">
      <c r="A62" s="238" t="s">
        <v>853</v>
      </c>
      <c r="B62" s="238"/>
      <c r="C62" s="238"/>
      <c r="D62" s="238"/>
      <c r="E62" s="238"/>
      <c r="F62" s="238"/>
    </row>
    <row r="63" s="216" customFormat="1" ht="15.6" customHeight="1" spans="1:6">
      <c r="A63" s="227" t="s">
        <v>864</v>
      </c>
      <c r="B63" s="228"/>
      <c r="C63" s="228"/>
      <c r="D63" s="228"/>
      <c r="E63" s="228" t="s">
        <v>832</v>
      </c>
      <c r="F63" s="228"/>
    </row>
    <row r="64" s="216" customFormat="1" ht="15.6" customHeight="1" spans="1:6">
      <c r="A64" s="232" t="s">
        <v>865</v>
      </c>
      <c r="B64" s="233"/>
      <c r="C64" s="233"/>
      <c r="D64" s="233"/>
      <c r="E64" s="233"/>
      <c r="F64" s="147"/>
    </row>
    <row r="65" s="216" customFormat="1" ht="15.6" customHeight="1" spans="1:6">
      <c r="A65" s="7" t="s">
        <v>104</v>
      </c>
      <c r="B65" s="7" t="s">
        <v>835</v>
      </c>
      <c r="C65" s="7" t="s">
        <v>159</v>
      </c>
      <c r="D65" s="7" t="s">
        <v>422</v>
      </c>
      <c r="E65" s="7" t="s">
        <v>160</v>
      </c>
      <c r="F65" s="7" t="s">
        <v>18</v>
      </c>
    </row>
    <row r="66" s="216" customFormat="1" ht="15.6" customHeight="1" spans="1:6">
      <c r="A66" s="7" t="s">
        <v>836</v>
      </c>
      <c r="B66" s="7" t="s">
        <v>837</v>
      </c>
      <c r="C66" s="7"/>
      <c r="D66" s="7"/>
      <c r="E66" s="7"/>
      <c r="F66" s="34">
        <f>F67+F74+F75</f>
        <v>184.098550177168</v>
      </c>
    </row>
    <row r="67" s="216" customFormat="1" ht="15.6" customHeight="1" spans="1:6">
      <c r="A67" s="7" t="s">
        <v>539</v>
      </c>
      <c r="B67" s="7" t="s">
        <v>838</v>
      </c>
      <c r="C67" s="7"/>
      <c r="D67" s="7"/>
      <c r="E67" s="7"/>
      <c r="F67" s="34">
        <f>F68+F71+F73</f>
        <v>175.666555512565</v>
      </c>
    </row>
    <row r="68" s="216" customFormat="1" ht="15.6" customHeight="1" spans="1:6">
      <c r="A68" s="7">
        <v>1</v>
      </c>
      <c r="B68" s="7" t="s">
        <v>839</v>
      </c>
      <c r="C68" s="7" t="s">
        <v>840</v>
      </c>
      <c r="D68" s="69"/>
      <c r="E68" s="69">
        <f>SUM(E69:E70)</f>
        <v>2.1</v>
      </c>
      <c r="F68" s="69">
        <f>SUM(F69:F70)</f>
        <v>12.117</v>
      </c>
    </row>
    <row r="69" s="216" customFormat="1" ht="15.6" customHeight="1" spans="1:6">
      <c r="A69" s="7"/>
      <c r="B69" s="7" t="s">
        <v>841</v>
      </c>
      <c r="C69" s="7" t="s">
        <v>840</v>
      </c>
      <c r="D69" s="69">
        <f>D47</f>
        <v>8.1</v>
      </c>
      <c r="E69" s="69">
        <v>0</v>
      </c>
      <c r="F69" s="69">
        <f>D69*E69</f>
        <v>0</v>
      </c>
    </row>
    <row r="70" s="216" customFormat="1" ht="15.6" customHeight="1" spans="1:6">
      <c r="A70" s="7"/>
      <c r="B70" s="7" t="s">
        <v>842</v>
      </c>
      <c r="C70" s="7" t="s">
        <v>840</v>
      </c>
      <c r="D70" s="69">
        <f>D48</f>
        <v>5.77</v>
      </c>
      <c r="E70" s="69">
        <v>2.1</v>
      </c>
      <c r="F70" s="69">
        <f>D70*E70</f>
        <v>12.117</v>
      </c>
    </row>
    <row r="71" s="216" customFormat="1" ht="15.6" customHeight="1" spans="1:6">
      <c r="A71" s="7">
        <v>2</v>
      </c>
      <c r="B71" s="7" t="s">
        <v>859</v>
      </c>
      <c r="C71" s="7"/>
      <c r="D71" s="7"/>
      <c r="E71" s="7"/>
      <c r="F71" s="69">
        <f>F72</f>
        <v>147.579868647786</v>
      </c>
    </row>
    <row r="72" s="216" customFormat="1" ht="15.6" customHeight="1" spans="1:6">
      <c r="A72" s="7"/>
      <c r="B72" s="7" t="s">
        <v>860</v>
      </c>
      <c r="C72" s="7" t="s">
        <v>428</v>
      </c>
      <c r="D72" s="69">
        <f>D50</f>
        <v>89.4423446350219</v>
      </c>
      <c r="E72" s="7">
        <v>1.65</v>
      </c>
      <c r="F72" s="69">
        <f>D72*E72</f>
        <v>147.579868647786</v>
      </c>
    </row>
    <row r="73" s="216" customFormat="1" ht="15.6" customHeight="1" spans="1:6">
      <c r="A73" s="7">
        <v>3</v>
      </c>
      <c r="B73" s="7" t="s">
        <v>844</v>
      </c>
      <c r="C73" s="9" t="s">
        <v>845</v>
      </c>
      <c r="D73" s="34">
        <f>F68+F71</f>
        <v>159.696868647786</v>
      </c>
      <c r="E73" s="7">
        <v>10</v>
      </c>
      <c r="F73" s="69">
        <f>D73*E73/100</f>
        <v>15.9696868647786</v>
      </c>
    </row>
    <row r="74" s="216" customFormat="1" ht="15.6" customHeight="1" spans="1:6">
      <c r="A74" s="7" t="s">
        <v>564</v>
      </c>
      <c r="B74" s="7" t="s">
        <v>846</v>
      </c>
      <c r="C74" s="230">
        <f>取费表!$C$4</f>
        <v>0.048</v>
      </c>
      <c r="D74" s="7"/>
      <c r="E74" s="34">
        <f>F67</f>
        <v>175.666555512565</v>
      </c>
      <c r="F74" s="69">
        <f>E74*C74</f>
        <v>8.43199466460311</v>
      </c>
    </row>
    <row r="75" s="216" customFormat="1" ht="15.6" customHeight="1" spans="1:6">
      <c r="A75" s="7"/>
      <c r="B75" s="7"/>
      <c r="C75" s="230"/>
      <c r="D75" s="7"/>
      <c r="E75" s="34"/>
      <c r="F75" s="69"/>
    </row>
    <row r="76" s="216" customFormat="1" ht="15.6" customHeight="1" spans="1:6">
      <c r="A76" s="7" t="s">
        <v>439</v>
      </c>
      <c r="B76" s="7" t="s">
        <v>847</v>
      </c>
      <c r="C76" s="230">
        <f>取费表!$E$4</f>
        <v>0.04</v>
      </c>
      <c r="D76" s="7"/>
      <c r="E76" s="34">
        <f>F66</f>
        <v>184.098550177168</v>
      </c>
      <c r="F76" s="69">
        <f>E76*C76</f>
        <v>7.36394200708672</v>
      </c>
    </row>
    <row r="77" s="216" customFormat="1" ht="15.6" customHeight="1" spans="1:6">
      <c r="A77" s="7" t="s">
        <v>83</v>
      </c>
      <c r="B77" s="7" t="s">
        <v>848</v>
      </c>
      <c r="C77" s="230">
        <f>取费表!$F$4</f>
        <v>0.05</v>
      </c>
      <c r="D77" s="7"/>
      <c r="E77" s="34">
        <f>F76+F66</f>
        <v>191.462492184255</v>
      </c>
      <c r="F77" s="69">
        <f>E77*C77</f>
        <v>9.57312460921273</v>
      </c>
    </row>
    <row r="78" s="216" customFormat="1" ht="15.6" customHeight="1" spans="1:6">
      <c r="A78" s="7" t="s">
        <v>121</v>
      </c>
      <c r="B78" s="7" t="s">
        <v>861</v>
      </c>
      <c r="C78" s="9"/>
      <c r="D78" s="34"/>
      <c r="E78" s="7"/>
      <c r="F78" s="69">
        <f>F79</f>
        <v>80.1042</v>
      </c>
    </row>
    <row r="79" s="216" customFormat="1" ht="15.6" customHeight="1" spans="1:6">
      <c r="A79" s="7"/>
      <c r="B79" s="7" t="s">
        <v>862</v>
      </c>
      <c r="C79" s="9" t="s">
        <v>863</v>
      </c>
      <c r="D79" s="34">
        <f>D57</f>
        <v>4.58</v>
      </c>
      <c r="E79" s="38">
        <f>E72*台时!E14</f>
        <v>17.49</v>
      </c>
      <c r="F79" s="69">
        <f>E79*D79</f>
        <v>80.1042</v>
      </c>
    </row>
    <row r="80" s="216" customFormat="1" ht="15.6" customHeight="1" spans="1:6">
      <c r="A80" s="7" t="s">
        <v>135</v>
      </c>
      <c r="B80" s="7" t="s">
        <v>849</v>
      </c>
      <c r="C80" s="231">
        <f>C58</f>
        <v>0.09</v>
      </c>
      <c r="D80" s="7"/>
      <c r="E80" s="34">
        <f>F66+F76+F77+F78</f>
        <v>281.139816793467</v>
      </c>
      <c r="F80" s="69">
        <f>E80*C80</f>
        <v>25.3025835114121</v>
      </c>
    </row>
    <row r="81" s="216" customFormat="1" ht="15.6" customHeight="1" spans="1:6">
      <c r="A81" s="7"/>
      <c r="B81" s="7" t="s">
        <v>850</v>
      </c>
      <c r="C81" s="231"/>
      <c r="D81" s="7"/>
      <c r="E81" s="34"/>
      <c r="F81" s="69">
        <f>(F66+F76+F77+F78+F80)*取费表!H4</f>
        <v>9.19327200914638</v>
      </c>
    </row>
    <row r="82" s="216" customFormat="1" ht="15.6" customHeight="1" spans="1:6">
      <c r="A82" s="7"/>
      <c r="B82" s="7" t="s">
        <v>156</v>
      </c>
      <c r="C82" s="7"/>
      <c r="D82" s="7"/>
      <c r="E82" s="7"/>
      <c r="F82" s="69">
        <f>F66+F76+F77+F78+F80+F81</f>
        <v>315.635672314026</v>
      </c>
    </row>
    <row r="83" ht="15.6" customHeight="1" spans="1:12">
      <c r="A83" s="240" t="s">
        <v>828</v>
      </c>
      <c r="B83" s="241"/>
      <c r="C83" s="240"/>
      <c r="D83" s="240"/>
      <c r="E83" s="240"/>
      <c r="F83" s="240"/>
      <c r="G83" s="240" t="s">
        <v>828</v>
      </c>
      <c r="H83" s="241"/>
      <c r="I83" s="240"/>
      <c r="J83" s="240"/>
      <c r="K83" s="240"/>
      <c r="L83" s="240"/>
    </row>
    <row r="84" ht="15.6" customHeight="1" spans="1:12">
      <c r="A84" s="242" t="s">
        <v>866</v>
      </c>
      <c r="B84" s="242"/>
      <c r="C84" s="242"/>
      <c r="D84" s="242"/>
      <c r="E84" s="242"/>
      <c r="F84" s="242"/>
      <c r="G84" s="242" t="s">
        <v>867</v>
      </c>
      <c r="H84" s="242"/>
      <c r="I84" s="242"/>
      <c r="J84" s="242"/>
      <c r="K84" s="242"/>
      <c r="L84" s="242"/>
    </row>
    <row r="85" ht="15.6" customHeight="1" spans="1:12">
      <c r="A85" s="227" t="s">
        <v>868</v>
      </c>
      <c r="B85" s="228"/>
      <c r="C85" s="229"/>
      <c r="D85" s="229"/>
      <c r="E85" s="228" t="s">
        <v>832</v>
      </c>
      <c r="F85" s="228"/>
      <c r="G85" s="227" t="s">
        <v>869</v>
      </c>
      <c r="H85" s="228"/>
      <c r="I85" s="229"/>
      <c r="J85" s="229"/>
      <c r="K85" s="228" t="s">
        <v>832</v>
      </c>
      <c r="L85" s="228"/>
    </row>
    <row r="86" ht="15.6" customHeight="1" spans="1:12">
      <c r="A86" s="146" t="s">
        <v>858</v>
      </c>
      <c r="B86" s="233"/>
      <c r="C86" s="233"/>
      <c r="D86" s="233"/>
      <c r="E86" s="233"/>
      <c r="F86" s="147"/>
      <c r="G86" s="146" t="s">
        <v>858</v>
      </c>
      <c r="H86" s="233"/>
      <c r="I86" s="233"/>
      <c r="J86" s="233"/>
      <c r="K86" s="233"/>
      <c r="L86" s="147"/>
    </row>
    <row r="87" ht="15.6" customHeight="1" spans="1:12">
      <c r="A87" s="7" t="s">
        <v>104</v>
      </c>
      <c r="B87" s="7" t="s">
        <v>835</v>
      </c>
      <c r="C87" s="7" t="s">
        <v>159</v>
      </c>
      <c r="D87" s="7" t="s">
        <v>422</v>
      </c>
      <c r="E87" s="7" t="s">
        <v>160</v>
      </c>
      <c r="F87" s="7" t="s">
        <v>18</v>
      </c>
      <c r="G87" s="7" t="s">
        <v>104</v>
      </c>
      <c r="H87" s="7" t="s">
        <v>835</v>
      </c>
      <c r="I87" s="7" t="s">
        <v>159</v>
      </c>
      <c r="J87" s="7" t="s">
        <v>422</v>
      </c>
      <c r="K87" s="7" t="s">
        <v>160</v>
      </c>
      <c r="L87" s="7" t="s">
        <v>18</v>
      </c>
    </row>
    <row r="88" ht="15.6" customHeight="1" spans="1:12">
      <c r="A88" s="7" t="s">
        <v>836</v>
      </c>
      <c r="B88" s="7" t="s">
        <v>837</v>
      </c>
      <c r="C88" s="7"/>
      <c r="D88" s="7"/>
      <c r="E88" s="7"/>
      <c r="F88" s="34">
        <f>F89+F96+F97</f>
        <v>296.154077723469</v>
      </c>
      <c r="G88" s="7" t="s">
        <v>836</v>
      </c>
      <c r="H88" s="7" t="s">
        <v>837</v>
      </c>
      <c r="I88" s="7"/>
      <c r="J88" s="7"/>
      <c r="K88" s="7"/>
      <c r="L88" s="34">
        <f>L89+L96+L97</f>
        <v>390.747738235482</v>
      </c>
    </row>
    <row r="89" ht="15.6" customHeight="1" spans="1:12">
      <c r="A89" s="7" t="s">
        <v>539</v>
      </c>
      <c r="B89" s="7" t="s">
        <v>838</v>
      </c>
      <c r="C89" s="7"/>
      <c r="D89" s="7"/>
      <c r="E89" s="7"/>
      <c r="F89" s="34">
        <f>F90+F93+F95</f>
        <v>282.589768820104</v>
      </c>
      <c r="G89" s="7" t="s">
        <v>539</v>
      </c>
      <c r="H89" s="7" t="s">
        <v>838</v>
      </c>
      <c r="I89" s="7"/>
      <c r="J89" s="7"/>
      <c r="K89" s="7"/>
      <c r="L89" s="34">
        <f>L90+L93+L95</f>
        <v>372.850895262864</v>
      </c>
    </row>
    <row r="90" ht="15.6" customHeight="1" spans="1:12">
      <c r="A90" s="7">
        <v>1</v>
      </c>
      <c r="B90" s="7" t="s">
        <v>839</v>
      </c>
      <c r="C90" s="7" t="s">
        <v>840</v>
      </c>
      <c r="D90" s="69"/>
      <c r="E90" s="69">
        <f>SUM(E91:E92)</f>
        <v>3.6</v>
      </c>
      <c r="F90" s="69">
        <f>SUM(F91:F92)</f>
        <v>20.772</v>
      </c>
      <c r="G90" s="7">
        <v>1</v>
      </c>
      <c r="H90" s="7" t="s">
        <v>839</v>
      </c>
      <c r="I90" s="7" t="s">
        <v>840</v>
      </c>
      <c r="J90" s="69"/>
      <c r="K90" s="69">
        <f>SUM(K91:K92)</f>
        <v>4.8</v>
      </c>
      <c r="L90" s="69">
        <f>SUM(L91:L92)</f>
        <v>27.696</v>
      </c>
    </row>
    <row r="91" s="217" customFormat="1" ht="15.6" customHeight="1" spans="1:12">
      <c r="A91" s="7"/>
      <c r="B91" s="7" t="s">
        <v>841</v>
      </c>
      <c r="C91" s="7" t="s">
        <v>840</v>
      </c>
      <c r="D91" s="69">
        <f>D28</f>
        <v>8.1</v>
      </c>
      <c r="E91" s="69">
        <v>0</v>
      </c>
      <c r="F91" s="69">
        <f>D91*E91</f>
        <v>0</v>
      </c>
      <c r="G91" s="7"/>
      <c r="H91" s="7" t="s">
        <v>841</v>
      </c>
      <c r="I91" s="7" t="s">
        <v>840</v>
      </c>
      <c r="J91" s="69">
        <f>D91</f>
        <v>8.1</v>
      </c>
      <c r="K91" s="69">
        <v>0</v>
      </c>
      <c r="L91" s="69">
        <f>J91*K91</f>
        <v>0</v>
      </c>
    </row>
    <row r="92" s="217" customFormat="1" ht="15.6" customHeight="1" spans="1:12">
      <c r="A92" s="7"/>
      <c r="B92" s="7" t="s">
        <v>842</v>
      </c>
      <c r="C92" s="7" t="s">
        <v>840</v>
      </c>
      <c r="D92" s="69">
        <f>D29</f>
        <v>5.77</v>
      </c>
      <c r="E92" s="69">
        <v>3.6</v>
      </c>
      <c r="F92" s="69">
        <f>D92*E92</f>
        <v>20.772</v>
      </c>
      <c r="G92" s="7"/>
      <c r="H92" s="7" t="s">
        <v>842</v>
      </c>
      <c r="I92" s="7" t="s">
        <v>840</v>
      </c>
      <c r="J92" s="69">
        <f>D92</f>
        <v>5.77</v>
      </c>
      <c r="K92" s="69">
        <v>4.8</v>
      </c>
      <c r="L92" s="69">
        <f>J92*K92</f>
        <v>27.696</v>
      </c>
    </row>
    <row r="93" ht="15.6" customHeight="1" spans="1:12">
      <c r="A93" s="7">
        <v>2</v>
      </c>
      <c r="B93" s="7" t="s">
        <v>859</v>
      </c>
      <c r="C93" s="7"/>
      <c r="D93" s="7"/>
      <c r="E93" s="7"/>
      <c r="F93" s="69">
        <f>F94</f>
        <v>236.127789836458</v>
      </c>
      <c r="G93" s="7">
        <v>2</v>
      </c>
      <c r="H93" s="7" t="s">
        <v>859</v>
      </c>
      <c r="I93" s="7"/>
      <c r="J93" s="7"/>
      <c r="K93" s="7"/>
      <c r="L93" s="69">
        <f>L94</f>
        <v>311.259359329876</v>
      </c>
    </row>
    <row r="94" ht="15.6" customHeight="1" spans="1:12">
      <c r="A94" s="7"/>
      <c r="B94" s="7" t="s">
        <v>860</v>
      </c>
      <c r="C94" s="7" t="s">
        <v>428</v>
      </c>
      <c r="D94" s="69">
        <f>台时!E21</f>
        <v>89.4423446350219</v>
      </c>
      <c r="E94" s="7">
        <f>2.64</f>
        <v>2.64</v>
      </c>
      <c r="F94" s="69">
        <f>D94*E94</f>
        <v>236.127789836458</v>
      </c>
      <c r="G94" s="7"/>
      <c r="H94" s="7" t="s">
        <v>860</v>
      </c>
      <c r="I94" s="7" t="s">
        <v>428</v>
      </c>
      <c r="J94" s="69">
        <f>D94</f>
        <v>89.4423446350219</v>
      </c>
      <c r="K94" s="7">
        <v>3.48</v>
      </c>
      <c r="L94" s="69">
        <f>J94*K94</f>
        <v>311.259359329876</v>
      </c>
    </row>
    <row r="95" ht="15.6" customHeight="1" spans="1:12">
      <c r="A95" s="7">
        <v>3</v>
      </c>
      <c r="B95" s="7" t="s">
        <v>844</v>
      </c>
      <c r="C95" s="9" t="s">
        <v>845</v>
      </c>
      <c r="D95" s="34">
        <f>F90+F94</f>
        <v>256.899789836458</v>
      </c>
      <c r="E95" s="7">
        <v>10</v>
      </c>
      <c r="F95" s="69">
        <f>D95*E95/100</f>
        <v>25.6899789836458</v>
      </c>
      <c r="G95" s="7">
        <v>3</v>
      </c>
      <c r="H95" s="7" t="s">
        <v>844</v>
      </c>
      <c r="I95" s="9" t="s">
        <v>845</v>
      </c>
      <c r="J95" s="34">
        <f>L90+L94</f>
        <v>338.955359329876</v>
      </c>
      <c r="K95" s="7">
        <v>10</v>
      </c>
      <c r="L95" s="69">
        <f>J95*K95/100</f>
        <v>33.8955359329876</v>
      </c>
    </row>
    <row r="96" ht="15.6" customHeight="1" spans="1:12">
      <c r="A96" s="7" t="s">
        <v>564</v>
      </c>
      <c r="B96" s="7" t="s">
        <v>846</v>
      </c>
      <c r="C96" s="230">
        <f>取费表!$C$4</f>
        <v>0.048</v>
      </c>
      <c r="D96" s="7"/>
      <c r="E96" s="34">
        <f>F89</f>
        <v>282.589768820104</v>
      </c>
      <c r="F96" s="69">
        <f>E96*C96</f>
        <v>13.564308903365</v>
      </c>
      <c r="G96" s="7" t="s">
        <v>564</v>
      </c>
      <c r="H96" s="7" t="s">
        <v>846</v>
      </c>
      <c r="I96" s="230">
        <f>C96</f>
        <v>0.048</v>
      </c>
      <c r="J96" s="7"/>
      <c r="K96" s="34">
        <f>L89</f>
        <v>372.850895262864</v>
      </c>
      <c r="L96" s="69">
        <f>K96*I96</f>
        <v>17.8968429726175</v>
      </c>
    </row>
    <row r="97" ht="15.6" customHeight="1" spans="1:12">
      <c r="A97" s="7"/>
      <c r="B97" s="7"/>
      <c r="C97" s="230"/>
      <c r="D97" s="7"/>
      <c r="E97" s="34"/>
      <c r="F97" s="69"/>
      <c r="G97" s="7"/>
      <c r="H97" s="7"/>
      <c r="I97" s="230"/>
      <c r="J97" s="7"/>
      <c r="K97" s="34"/>
      <c r="L97" s="69"/>
    </row>
    <row r="98" ht="15.6" customHeight="1" spans="1:12">
      <c r="A98" s="7" t="s">
        <v>439</v>
      </c>
      <c r="B98" s="7" t="s">
        <v>847</v>
      </c>
      <c r="C98" s="230">
        <f>取费表!$E$4</f>
        <v>0.04</v>
      </c>
      <c r="D98" s="7"/>
      <c r="E98" s="34">
        <f>F88</f>
        <v>296.154077723469</v>
      </c>
      <c r="F98" s="69">
        <f>E98*C98</f>
        <v>11.8461631089388</v>
      </c>
      <c r="G98" s="7" t="s">
        <v>439</v>
      </c>
      <c r="H98" s="7" t="s">
        <v>847</v>
      </c>
      <c r="I98" s="230">
        <f>C98</f>
        <v>0.04</v>
      </c>
      <c r="J98" s="7"/>
      <c r="K98" s="34">
        <f>L88</f>
        <v>390.747738235482</v>
      </c>
      <c r="L98" s="69">
        <f>K98*I98</f>
        <v>15.6299095294193</v>
      </c>
    </row>
    <row r="99" ht="15.6" customHeight="1" spans="1:12">
      <c r="A99" s="7" t="s">
        <v>83</v>
      </c>
      <c r="B99" s="7" t="s">
        <v>848</v>
      </c>
      <c r="C99" s="230">
        <f>取费表!$F$4</f>
        <v>0.05</v>
      </c>
      <c r="D99" s="7"/>
      <c r="E99" s="34">
        <f>F98+F88</f>
        <v>308.000240832407</v>
      </c>
      <c r="F99" s="69">
        <f>E99*C99</f>
        <v>15.4000120416204</v>
      </c>
      <c r="G99" s="7" t="s">
        <v>83</v>
      </c>
      <c r="H99" s="7" t="s">
        <v>848</v>
      </c>
      <c r="I99" s="230">
        <f>C99</f>
        <v>0.05</v>
      </c>
      <c r="J99" s="7"/>
      <c r="K99" s="34">
        <f>L98+L88</f>
        <v>406.377647764901</v>
      </c>
      <c r="L99" s="69">
        <f>K99*I99</f>
        <v>20.318882388245</v>
      </c>
    </row>
    <row r="100" ht="15.6" customHeight="1" spans="1:12">
      <c r="A100" s="7" t="s">
        <v>121</v>
      </c>
      <c r="B100" s="7" t="s">
        <v>861</v>
      </c>
      <c r="C100" s="9"/>
      <c r="D100" s="34"/>
      <c r="E100" s="7"/>
      <c r="F100" s="69">
        <f>F101</f>
        <v>128.16672</v>
      </c>
      <c r="G100" s="7" t="s">
        <v>121</v>
      </c>
      <c r="H100" s="7" t="s">
        <v>861</v>
      </c>
      <c r="I100" s="9"/>
      <c r="J100" s="34"/>
      <c r="K100" s="7"/>
      <c r="L100" s="69">
        <f>L101</f>
        <v>168.94704</v>
      </c>
    </row>
    <row r="101" ht="15.6" customHeight="1" spans="1:12">
      <c r="A101" s="7"/>
      <c r="B101" s="7" t="s">
        <v>862</v>
      </c>
      <c r="C101" s="9" t="s">
        <v>863</v>
      </c>
      <c r="D101" s="34">
        <f>材料预算价!K11-材料预算价!L11</f>
        <v>4.58</v>
      </c>
      <c r="E101" s="38">
        <f>E94*台时!E14</f>
        <v>27.984</v>
      </c>
      <c r="F101" s="69">
        <f>E101*D101</f>
        <v>128.16672</v>
      </c>
      <c r="G101" s="7"/>
      <c r="H101" s="7" t="s">
        <v>862</v>
      </c>
      <c r="I101" s="9" t="s">
        <v>863</v>
      </c>
      <c r="J101" s="34">
        <f>D101</f>
        <v>4.58</v>
      </c>
      <c r="K101" s="38">
        <f>K94*台时!E14</f>
        <v>36.888</v>
      </c>
      <c r="L101" s="69">
        <f>K101*J101</f>
        <v>168.94704</v>
      </c>
    </row>
    <row r="102" ht="15.6" customHeight="1" spans="1:12">
      <c r="A102" s="7" t="s">
        <v>135</v>
      </c>
      <c r="B102" s="7" t="s">
        <v>849</v>
      </c>
      <c r="C102" s="231">
        <f>C80</f>
        <v>0.09</v>
      </c>
      <c r="D102" s="7"/>
      <c r="E102" s="34">
        <f>F88+F98+F99+F100</f>
        <v>451.566972874028</v>
      </c>
      <c r="F102" s="69">
        <f>E102*C102</f>
        <v>40.6410275586625</v>
      </c>
      <c r="G102" s="7" t="s">
        <v>135</v>
      </c>
      <c r="H102" s="7" t="s">
        <v>849</v>
      </c>
      <c r="I102" s="231">
        <f>C102</f>
        <v>0.09</v>
      </c>
      <c r="J102" s="7"/>
      <c r="K102" s="34">
        <f>L88+L98+L99+L100</f>
        <v>595.643570153146</v>
      </c>
      <c r="L102" s="69">
        <f>K102*I102</f>
        <v>53.6079213137832</v>
      </c>
    </row>
    <row r="103" ht="15.6" customHeight="1" spans="1:12">
      <c r="A103" s="7"/>
      <c r="B103" s="7" t="s">
        <v>850</v>
      </c>
      <c r="C103" s="231"/>
      <c r="D103" s="7"/>
      <c r="E103" s="34"/>
      <c r="F103" s="69">
        <f>(F88+F98+F99+F100+F102)*取费表!H4</f>
        <v>14.7662400129807</v>
      </c>
      <c r="G103" s="7"/>
      <c r="H103" s="7" t="s">
        <v>850</v>
      </c>
      <c r="I103" s="231"/>
      <c r="J103" s="7"/>
      <c r="K103" s="34"/>
      <c r="L103" s="69">
        <f>(L88+L98+L99+L100+L102)*取费表!H4</f>
        <v>19.4775447440079</v>
      </c>
    </row>
    <row r="104" ht="15.6" customHeight="1" spans="1:12">
      <c r="A104" s="7"/>
      <c r="B104" s="7" t="s">
        <v>156</v>
      </c>
      <c r="C104" s="7"/>
      <c r="D104" s="7"/>
      <c r="E104" s="7"/>
      <c r="F104" s="69">
        <f>F88+F98+F99+F100+F102+F103</f>
        <v>506.974240445672</v>
      </c>
      <c r="G104" s="7"/>
      <c r="H104" s="7" t="s">
        <v>156</v>
      </c>
      <c r="I104" s="7"/>
      <c r="J104" s="7"/>
      <c r="K104" s="7"/>
      <c r="L104" s="69">
        <f>L88+L98+L99+L100+L102+L103</f>
        <v>668.729036210937</v>
      </c>
    </row>
    <row r="105" ht="15.6" customHeight="1" spans="1:12">
      <c r="A105" s="240" t="s">
        <v>828</v>
      </c>
      <c r="B105" s="241"/>
      <c r="C105" s="240"/>
      <c r="D105" s="240"/>
      <c r="E105" s="240"/>
      <c r="F105" s="240"/>
      <c r="G105" s="240" t="s">
        <v>828</v>
      </c>
      <c r="H105" s="241"/>
      <c r="I105" s="240"/>
      <c r="J105" s="240"/>
      <c r="K105" s="240"/>
      <c r="L105" s="240"/>
    </row>
    <row r="106" ht="15.6" customHeight="1" spans="1:12">
      <c r="A106" s="242" t="s">
        <v>870</v>
      </c>
      <c r="B106" s="242"/>
      <c r="C106" s="242"/>
      <c r="D106" s="242"/>
      <c r="E106" s="242"/>
      <c r="F106" s="242"/>
      <c r="G106" s="242" t="s">
        <v>871</v>
      </c>
      <c r="H106" s="242"/>
      <c r="I106" s="242"/>
      <c r="J106" s="242"/>
      <c r="K106" s="242"/>
      <c r="L106" s="242"/>
    </row>
    <row r="107" ht="15.6" customHeight="1" spans="1:12">
      <c r="A107" s="227" t="s">
        <v>868</v>
      </c>
      <c r="B107" s="228"/>
      <c r="C107" s="229"/>
      <c r="D107" s="229"/>
      <c r="E107" s="228" t="s">
        <v>832</v>
      </c>
      <c r="F107" s="228"/>
      <c r="G107" s="227" t="s">
        <v>872</v>
      </c>
      <c r="H107" s="228"/>
      <c r="I107" s="229"/>
      <c r="J107" s="229"/>
      <c r="K107" s="228" t="s">
        <v>832</v>
      </c>
      <c r="L107" s="228"/>
    </row>
    <row r="108" ht="15.6" customHeight="1" spans="1:12">
      <c r="A108" s="146" t="s">
        <v>858</v>
      </c>
      <c r="B108" s="233"/>
      <c r="C108" s="233"/>
      <c r="D108" s="233"/>
      <c r="E108" s="233"/>
      <c r="F108" s="147"/>
      <c r="G108" s="146" t="s">
        <v>858</v>
      </c>
      <c r="H108" s="233"/>
      <c r="I108" s="233"/>
      <c r="J108" s="233"/>
      <c r="K108" s="233"/>
      <c r="L108" s="147"/>
    </row>
    <row r="109" ht="15.6" customHeight="1" spans="1:12">
      <c r="A109" s="7" t="s">
        <v>104</v>
      </c>
      <c r="B109" s="7" t="s">
        <v>835</v>
      </c>
      <c r="C109" s="7" t="s">
        <v>159</v>
      </c>
      <c r="D109" s="7" t="s">
        <v>422</v>
      </c>
      <c r="E109" s="7" t="s">
        <v>160</v>
      </c>
      <c r="F109" s="7" t="s">
        <v>18</v>
      </c>
      <c r="G109" s="7" t="s">
        <v>104</v>
      </c>
      <c r="H109" s="7" t="s">
        <v>835</v>
      </c>
      <c r="I109" s="7" t="s">
        <v>159</v>
      </c>
      <c r="J109" s="7" t="s">
        <v>422</v>
      </c>
      <c r="K109" s="7" t="s">
        <v>160</v>
      </c>
      <c r="L109" s="7" t="s">
        <v>18</v>
      </c>
    </row>
    <row r="110" ht="15.6" customHeight="1" spans="1:12">
      <c r="A110" s="7" t="s">
        <v>836</v>
      </c>
      <c r="B110" s="7" t="s">
        <v>837</v>
      </c>
      <c r="C110" s="7"/>
      <c r="D110" s="7"/>
      <c r="E110" s="7"/>
      <c r="F110" s="34">
        <f>F111+F118+F119</f>
        <v>210.108387854124</v>
      </c>
      <c r="G110" s="7" t="s">
        <v>836</v>
      </c>
      <c r="H110" s="7" t="s">
        <v>837</v>
      </c>
      <c r="I110" s="7"/>
      <c r="J110" s="7"/>
      <c r="K110" s="7"/>
      <c r="L110" s="34">
        <f>L111+L118+L119</f>
        <v>253.646778463272</v>
      </c>
    </row>
    <row r="111" ht="15.6" customHeight="1" spans="1:12">
      <c r="A111" s="7" t="s">
        <v>539</v>
      </c>
      <c r="B111" s="7" t="s">
        <v>838</v>
      </c>
      <c r="C111" s="7"/>
      <c r="D111" s="7"/>
      <c r="E111" s="7"/>
      <c r="F111" s="34">
        <f>F112+F115+F117</f>
        <v>200.48510291424</v>
      </c>
      <c r="G111" s="7" t="s">
        <v>539</v>
      </c>
      <c r="H111" s="7" t="s">
        <v>838</v>
      </c>
      <c r="I111" s="7"/>
      <c r="J111" s="7"/>
      <c r="K111" s="7"/>
      <c r="L111" s="34">
        <f>L112+L115+L117</f>
        <v>242.029368762665</v>
      </c>
    </row>
    <row r="112" ht="15.6" customHeight="1" spans="1:12">
      <c r="A112" s="7">
        <v>1</v>
      </c>
      <c r="B112" s="7" t="s">
        <v>839</v>
      </c>
      <c r="C112" s="7" t="s">
        <v>840</v>
      </c>
      <c r="D112" s="69"/>
      <c r="E112" s="69">
        <f>SUM(E113:E114)</f>
        <v>2.6</v>
      </c>
      <c r="F112" s="69">
        <f>SUM(F113:F114)</f>
        <v>15.002</v>
      </c>
      <c r="G112" s="7">
        <v>1</v>
      </c>
      <c r="H112" s="7" t="s">
        <v>839</v>
      </c>
      <c r="I112" s="7" t="s">
        <v>840</v>
      </c>
      <c r="J112" s="69"/>
      <c r="K112" s="69">
        <f>SUM(K113:K114)</f>
        <v>3.1</v>
      </c>
      <c r="L112" s="69">
        <f>SUM(L113:L114)</f>
        <v>17.887</v>
      </c>
    </row>
    <row r="113" ht="15.6" customHeight="1" spans="1:12">
      <c r="A113" s="7"/>
      <c r="B113" s="7" t="s">
        <v>841</v>
      </c>
      <c r="C113" s="7" t="s">
        <v>840</v>
      </c>
      <c r="D113" s="69">
        <f>D91</f>
        <v>8.1</v>
      </c>
      <c r="E113" s="69">
        <v>0</v>
      </c>
      <c r="F113" s="69">
        <f>D113*E113</f>
        <v>0</v>
      </c>
      <c r="G113" s="7"/>
      <c r="H113" s="7" t="s">
        <v>841</v>
      </c>
      <c r="I113" s="7" t="s">
        <v>840</v>
      </c>
      <c r="J113" s="69">
        <f t="shared" ref="J113:J114" si="3">J91</f>
        <v>8.1</v>
      </c>
      <c r="K113" s="69">
        <v>0</v>
      </c>
      <c r="L113" s="69">
        <f t="shared" ref="L113:L116" si="4">J113*K113</f>
        <v>0</v>
      </c>
    </row>
    <row r="114" ht="15.6" customHeight="1" spans="1:12">
      <c r="A114" s="7"/>
      <c r="B114" s="7" t="s">
        <v>842</v>
      </c>
      <c r="C114" s="7" t="s">
        <v>840</v>
      </c>
      <c r="D114" s="69">
        <f>D92</f>
        <v>5.77</v>
      </c>
      <c r="E114" s="69">
        <v>2.6</v>
      </c>
      <c r="F114" s="69">
        <f>D114*E114</f>
        <v>15.002</v>
      </c>
      <c r="G114" s="7"/>
      <c r="H114" s="7" t="s">
        <v>842</v>
      </c>
      <c r="I114" s="7" t="s">
        <v>840</v>
      </c>
      <c r="J114" s="69">
        <f t="shared" si="3"/>
        <v>5.77</v>
      </c>
      <c r="K114" s="69">
        <v>3.1</v>
      </c>
      <c r="L114" s="69">
        <f t="shared" si="4"/>
        <v>17.887</v>
      </c>
    </row>
    <row r="115" ht="15.6" customHeight="1" spans="1:12">
      <c r="A115" s="7">
        <v>2</v>
      </c>
      <c r="B115" s="7" t="s">
        <v>859</v>
      </c>
      <c r="C115" s="7"/>
      <c r="D115" s="7"/>
      <c r="E115" s="7"/>
      <c r="F115" s="69">
        <f>F116</f>
        <v>167.257184467491</v>
      </c>
      <c r="G115" s="7">
        <v>2</v>
      </c>
      <c r="H115" s="7" t="s">
        <v>859</v>
      </c>
      <c r="I115" s="7"/>
      <c r="J115" s="7"/>
      <c r="K115" s="7"/>
      <c r="L115" s="69">
        <f>L116</f>
        <v>202.13969887515</v>
      </c>
    </row>
    <row r="116" ht="15.6" customHeight="1" spans="1:12">
      <c r="A116" s="7"/>
      <c r="B116" s="7" t="s">
        <v>860</v>
      </c>
      <c r="C116" s="7" t="s">
        <v>428</v>
      </c>
      <c r="D116" s="69">
        <f>D94</f>
        <v>89.4423446350219</v>
      </c>
      <c r="E116" s="7">
        <v>1.87</v>
      </c>
      <c r="F116" s="69">
        <f>D116*E116</f>
        <v>167.257184467491</v>
      </c>
      <c r="G116" s="7"/>
      <c r="H116" s="7" t="s">
        <v>860</v>
      </c>
      <c r="I116" s="7" t="s">
        <v>428</v>
      </c>
      <c r="J116" s="69">
        <f>D116</f>
        <v>89.4423446350219</v>
      </c>
      <c r="K116" s="7">
        <v>2.26</v>
      </c>
      <c r="L116" s="69">
        <f t="shared" si="4"/>
        <v>202.13969887515</v>
      </c>
    </row>
    <row r="117" ht="15.6" customHeight="1" spans="1:12">
      <c r="A117" s="7">
        <v>3</v>
      </c>
      <c r="B117" s="7" t="s">
        <v>844</v>
      </c>
      <c r="C117" s="9" t="s">
        <v>845</v>
      </c>
      <c r="D117" s="34">
        <f>F112+F116</f>
        <v>182.259184467491</v>
      </c>
      <c r="E117" s="7">
        <v>10</v>
      </c>
      <c r="F117" s="69">
        <f>D117*E117/100</f>
        <v>18.2259184467491</v>
      </c>
      <c r="G117" s="7">
        <v>3</v>
      </c>
      <c r="H117" s="7" t="s">
        <v>844</v>
      </c>
      <c r="I117" s="9" t="s">
        <v>845</v>
      </c>
      <c r="J117" s="34">
        <f>L112+L116</f>
        <v>220.02669887515</v>
      </c>
      <c r="K117" s="7">
        <v>10</v>
      </c>
      <c r="L117" s="69">
        <f>J117*K117/100</f>
        <v>22.002669887515</v>
      </c>
    </row>
    <row r="118" ht="15.6" customHeight="1" spans="1:12">
      <c r="A118" s="7" t="s">
        <v>564</v>
      </c>
      <c r="B118" s="7" t="s">
        <v>846</v>
      </c>
      <c r="C118" s="230">
        <f>取费表!$C$4</f>
        <v>0.048</v>
      </c>
      <c r="D118" s="7"/>
      <c r="E118" s="34">
        <f>F111</f>
        <v>200.48510291424</v>
      </c>
      <c r="F118" s="69">
        <f>E118*C118</f>
        <v>9.62328493988353</v>
      </c>
      <c r="G118" s="7" t="s">
        <v>564</v>
      </c>
      <c r="H118" s="7" t="s">
        <v>846</v>
      </c>
      <c r="I118" s="230">
        <f>取费表!$C$4</f>
        <v>0.048</v>
      </c>
      <c r="J118" s="7"/>
      <c r="K118" s="34">
        <f>L111</f>
        <v>242.029368762665</v>
      </c>
      <c r="L118" s="69">
        <f t="shared" ref="L118:L121" si="5">K118*I118</f>
        <v>11.6174097006079</v>
      </c>
    </row>
    <row r="119" ht="15.6" customHeight="1" spans="1:12">
      <c r="A119" s="7"/>
      <c r="B119" s="7"/>
      <c r="C119" s="230"/>
      <c r="D119" s="7"/>
      <c r="E119" s="34"/>
      <c r="F119" s="69"/>
      <c r="G119" s="7"/>
      <c r="H119" s="7"/>
      <c r="I119" s="230"/>
      <c r="J119" s="7"/>
      <c r="K119" s="34"/>
      <c r="L119" s="69"/>
    </row>
    <row r="120" ht="15.6" customHeight="1" spans="1:12">
      <c r="A120" s="7" t="s">
        <v>439</v>
      </c>
      <c r="B120" s="7" t="s">
        <v>847</v>
      </c>
      <c r="C120" s="230">
        <f>取费表!$E$4</f>
        <v>0.04</v>
      </c>
      <c r="D120" s="7"/>
      <c r="E120" s="34">
        <f>F110</f>
        <v>210.108387854124</v>
      </c>
      <c r="F120" s="69">
        <f>E120*C120</f>
        <v>8.40433551416495</v>
      </c>
      <c r="G120" s="7" t="s">
        <v>439</v>
      </c>
      <c r="H120" s="7" t="s">
        <v>847</v>
      </c>
      <c r="I120" s="230">
        <f>取费表!$E$4</f>
        <v>0.04</v>
      </c>
      <c r="J120" s="7"/>
      <c r="K120" s="34">
        <f>L110</f>
        <v>253.646778463272</v>
      </c>
      <c r="L120" s="69">
        <f t="shared" si="5"/>
        <v>10.1458711385309</v>
      </c>
    </row>
    <row r="121" ht="15.6" customHeight="1" spans="1:12">
      <c r="A121" s="7" t="s">
        <v>83</v>
      </c>
      <c r="B121" s="7" t="s">
        <v>848</v>
      </c>
      <c r="C121" s="230">
        <f>取费表!$F$4</f>
        <v>0.05</v>
      </c>
      <c r="D121" s="7"/>
      <c r="E121" s="34">
        <f>F120+F110</f>
        <v>218.512723368289</v>
      </c>
      <c r="F121" s="69">
        <f>E121*C121</f>
        <v>10.9256361684144</v>
      </c>
      <c r="G121" s="7" t="s">
        <v>83</v>
      </c>
      <c r="H121" s="7" t="s">
        <v>848</v>
      </c>
      <c r="I121" s="230">
        <f>取费表!$F$4</f>
        <v>0.05</v>
      </c>
      <c r="J121" s="7"/>
      <c r="K121" s="34">
        <f>L120+L110</f>
        <v>263.792649601803</v>
      </c>
      <c r="L121" s="69">
        <f t="shared" si="5"/>
        <v>13.1896324800902</v>
      </c>
    </row>
    <row r="122" ht="15.6" customHeight="1" spans="1:12">
      <c r="A122" s="7" t="s">
        <v>121</v>
      </c>
      <c r="B122" s="7" t="s">
        <v>861</v>
      </c>
      <c r="C122" s="9"/>
      <c r="D122" s="34"/>
      <c r="E122" s="7"/>
      <c r="F122" s="69">
        <f>F123</f>
        <v>90.78476</v>
      </c>
      <c r="G122" s="7" t="s">
        <v>121</v>
      </c>
      <c r="H122" s="7" t="s">
        <v>861</v>
      </c>
      <c r="I122" s="9"/>
      <c r="J122" s="34"/>
      <c r="K122" s="7"/>
      <c r="L122" s="69">
        <f>L123</f>
        <v>109.71848</v>
      </c>
    </row>
    <row r="123" ht="15.6" customHeight="1" spans="1:12">
      <c r="A123" s="7"/>
      <c r="B123" s="7" t="s">
        <v>862</v>
      </c>
      <c r="C123" s="9" t="s">
        <v>863</v>
      </c>
      <c r="D123" s="34">
        <f>D101</f>
        <v>4.58</v>
      </c>
      <c r="E123" s="38">
        <f>E116*台时!E14</f>
        <v>19.822</v>
      </c>
      <c r="F123" s="69">
        <f>E123*D123</f>
        <v>90.78476</v>
      </c>
      <c r="G123" s="7"/>
      <c r="H123" s="7" t="s">
        <v>862</v>
      </c>
      <c r="I123" s="9" t="s">
        <v>863</v>
      </c>
      <c r="J123" s="34">
        <f>J101</f>
        <v>4.58</v>
      </c>
      <c r="K123" s="38">
        <f>K116*10.6</f>
        <v>23.956</v>
      </c>
      <c r="L123" s="69">
        <f>K123*J123</f>
        <v>109.71848</v>
      </c>
    </row>
    <row r="124" ht="15.6" customHeight="1" spans="1:12">
      <c r="A124" s="7" t="s">
        <v>135</v>
      </c>
      <c r="B124" s="7" t="s">
        <v>849</v>
      </c>
      <c r="C124" s="231">
        <f>C102</f>
        <v>0.09</v>
      </c>
      <c r="D124" s="7"/>
      <c r="E124" s="34">
        <f>F110+F120+F121+F122</f>
        <v>320.223119536703</v>
      </c>
      <c r="F124" s="69">
        <f>E124*C124</f>
        <v>28.8200807583033</v>
      </c>
      <c r="G124" s="7" t="s">
        <v>135</v>
      </c>
      <c r="H124" s="7" t="s">
        <v>849</v>
      </c>
      <c r="I124" s="231">
        <f>I102</f>
        <v>0.09</v>
      </c>
      <c r="J124" s="7"/>
      <c r="K124" s="34">
        <f>L110+L120+L121+L122</f>
        <v>386.700762081893</v>
      </c>
      <c r="L124" s="69">
        <f>K124*I124</f>
        <v>34.8030685873704</v>
      </c>
    </row>
    <row r="125" ht="15.6" customHeight="1" spans="1:12">
      <c r="A125" s="7"/>
      <c r="B125" s="7" t="s">
        <v>850</v>
      </c>
      <c r="C125" s="231"/>
      <c r="D125" s="7"/>
      <c r="E125" s="34"/>
      <c r="F125" s="69">
        <f>(F110+F120+F121+F122+F124)*取费表!H4</f>
        <v>10.4712960088502</v>
      </c>
      <c r="G125" s="7"/>
      <c r="H125" s="7" t="s">
        <v>850</v>
      </c>
      <c r="I125" s="231"/>
      <c r="J125" s="7"/>
      <c r="K125" s="34"/>
      <c r="L125" s="69">
        <f>(L110+L120+L121+L122+L124)*取费表!H4</f>
        <v>12.6451149200779</v>
      </c>
    </row>
    <row r="126" ht="15.6" customHeight="1" spans="1:12">
      <c r="A126" s="7"/>
      <c r="B126" s="7" t="s">
        <v>156</v>
      </c>
      <c r="C126" s="7"/>
      <c r="D126" s="7"/>
      <c r="E126" s="7"/>
      <c r="F126" s="69">
        <f>F110+F120+F121+F122+F124+F125</f>
        <v>359.514496303857</v>
      </c>
      <c r="G126" s="7"/>
      <c r="H126" s="7" t="s">
        <v>156</v>
      </c>
      <c r="I126" s="7"/>
      <c r="J126" s="7"/>
      <c r="K126" s="7"/>
      <c r="L126" s="69">
        <f>L110+L120+L121+L122+L124+L125</f>
        <v>434.148945589341</v>
      </c>
    </row>
    <row r="127" ht="15.6" customHeight="1" spans="1:6">
      <c r="A127" s="240" t="s">
        <v>828</v>
      </c>
      <c r="B127" s="241"/>
      <c r="C127" s="240"/>
      <c r="D127" s="240"/>
      <c r="E127" s="240"/>
      <c r="F127" s="240"/>
    </row>
    <row r="128" ht="15.6" customHeight="1" spans="1:6">
      <c r="A128" s="242" t="s">
        <v>873</v>
      </c>
      <c r="B128" s="242"/>
      <c r="C128" s="242"/>
      <c r="D128" s="242"/>
      <c r="E128" s="242"/>
      <c r="F128" s="242"/>
    </row>
    <row r="129" ht="15.6" customHeight="1" spans="1:6">
      <c r="A129" s="227" t="s">
        <v>868</v>
      </c>
      <c r="B129" s="228"/>
      <c r="C129" s="229"/>
      <c r="D129" s="229"/>
      <c r="E129" s="228" t="s">
        <v>832</v>
      </c>
      <c r="F129" s="228"/>
    </row>
    <row r="130" ht="15.6" customHeight="1" spans="1:6">
      <c r="A130" s="146" t="s">
        <v>874</v>
      </c>
      <c r="B130" s="233"/>
      <c r="C130" s="233"/>
      <c r="D130" s="233"/>
      <c r="E130" s="233"/>
      <c r="F130" s="147"/>
    </row>
    <row r="131" ht="15.6" customHeight="1" spans="1:6">
      <c r="A131" s="7" t="s">
        <v>104</v>
      </c>
      <c r="B131" s="7" t="s">
        <v>835</v>
      </c>
      <c r="C131" s="7" t="s">
        <v>159</v>
      </c>
      <c r="D131" s="7" t="s">
        <v>422</v>
      </c>
      <c r="E131" s="7" t="s">
        <v>160</v>
      </c>
      <c r="F131" s="7" t="s">
        <v>18</v>
      </c>
    </row>
    <row r="132" ht="15.6" customHeight="1" spans="1:6">
      <c r="A132" s="7" t="s">
        <v>836</v>
      </c>
      <c r="B132" s="7" t="s">
        <v>837</v>
      </c>
      <c r="C132" s="7"/>
      <c r="D132" s="7"/>
      <c r="E132" s="7"/>
      <c r="F132" s="34">
        <f>F133+F140+F141</f>
        <v>349.770827869</v>
      </c>
    </row>
    <row r="133" ht="15.6" customHeight="1" spans="1:6">
      <c r="A133" s="7" t="s">
        <v>539</v>
      </c>
      <c r="B133" s="7" t="s">
        <v>838</v>
      </c>
      <c r="C133" s="7"/>
      <c r="D133" s="7"/>
      <c r="E133" s="7"/>
      <c r="F133" s="34">
        <f>F134+F137+F139</f>
        <v>333.750789951336</v>
      </c>
    </row>
    <row r="134" ht="15.6" customHeight="1" spans="1:6">
      <c r="A134" s="7">
        <v>1</v>
      </c>
      <c r="B134" s="7" t="s">
        <v>839</v>
      </c>
      <c r="C134" s="7" t="s">
        <v>840</v>
      </c>
      <c r="D134" s="69"/>
      <c r="E134" s="69">
        <f>SUM(E135:E136)</f>
        <v>3.6</v>
      </c>
      <c r="F134" s="69">
        <f>SUM(F135:F136)</f>
        <v>20.772</v>
      </c>
    </row>
    <row r="135" ht="15.6" customHeight="1" spans="1:6">
      <c r="A135" s="7"/>
      <c r="B135" s="7" t="s">
        <v>841</v>
      </c>
      <c r="C135" s="7" t="s">
        <v>840</v>
      </c>
      <c r="D135" s="69">
        <f>D113</f>
        <v>8.1</v>
      </c>
      <c r="E135" s="69">
        <v>0</v>
      </c>
      <c r="F135" s="69">
        <f>D135*E135</f>
        <v>0</v>
      </c>
    </row>
    <row r="136" ht="15.6" customHeight="1" spans="1:6">
      <c r="A136" s="7"/>
      <c r="B136" s="7" t="s">
        <v>842</v>
      </c>
      <c r="C136" s="7" t="s">
        <v>840</v>
      </c>
      <c r="D136" s="69">
        <f>D114</f>
        <v>5.77</v>
      </c>
      <c r="E136" s="69">
        <v>3.6</v>
      </c>
      <c r="F136" s="69">
        <f>D136*E136</f>
        <v>20.772</v>
      </c>
    </row>
    <row r="137" ht="15.6" customHeight="1" spans="1:6">
      <c r="A137" s="7">
        <v>2</v>
      </c>
      <c r="B137" s="7" t="s">
        <v>859</v>
      </c>
      <c r="C137" s="7"/>
      <c r="D137" s="7"/>
      <c r="E137" s="7"/>
      <c r="F137" s="69">
        <f>F138</f>
        <v>282.637809046669</v>
      </c>
    </row>
    <row r="138" ht="15.6" customHeight="1" spans="1:6">
      <c r="A138" s="7"/>
      <c r="B138" s="7" t="s">
        <v>860</v>
      </c>
      <c r="C138" s="7" t="s">
        <v>428</v>
      </c>
      <c r="D138" s="69">
        <f>D116</f>
        <v>89.4423446350219</v>
      </c>
      <c r="E138" s="7">
        <v>3.16</v>
      </c>
      <c r="F138" s="69">
        <f>D138*E138</f>
        <v>282.637809046669</v>
      </c>
    </row>
    <row r="139" ht="15.6" customHeight="1" spans="1:6">
      <c r="A139" s="7">
        <v>3</v>
      </c>
      <c r="B139" s="7" t="s">
        <v>844</v>
      </c>
      <c r="C139" s="9" t="s">
        <v>845</v>
      </c>
      <c r="D139" s="34">
        <f>F134+F138</f>
        <v>303.409809046669</v>
      </c>
      <c r="E139" s="7">
        <v>10</v>
      </c>
      <c r="F139" s="69">
        <f>D139*E139/100</f>
        <v>30.3409809046669</v>
      </c>
    </row>
    <row r="140" ht="15.6" customHeight="1" spans="1:6">
      <c r="A140" s="7" t="s">
        <v>564</v>
      </c>
      <c r="B140" s="7" t="s">
        <v>846</v>
      </c>
      <c r="C140" s="230">
        <f>取费表!$C$4</f>
        <v>0.048</v>
      </c>
      <c r="D140" s="7"/>
      <c r="E140" s="34">
        <f>F133</f>
        <v>333.750789951336</v>
      </c>
      <c r="F140" s="69">
        <f>E140*C140</f>
        <v>16.0200379176641</v>
      </c>
    </row>
    <row r="141" ht="15.6" customHeight="1" spans="1:6">
      <c r="A141" s="7"/>
      <c r="B141" s="7"/>
      <c r="C141" s="230"/>
      <c r="D141" s="7"/>
      <c r="E141" s="34"/>
      <c r="F141" s="69"/>
    </row>
    <row r="142" ht="15.6" customHeight="1" spans="1:6">
      <c r="A142" s="7" t="s">
        <v>439</v>
      </c>
      <c r="B142" s="7" t="s">
        <v>847</v>
      </c>
      <c r="C142" s="230">
        <f>取费表!$E$4</f>
        <v>0.04</v>
      </c>
      <c r="D142" s="7"/>
      <c r="E142" s="34">
        <f>F132</f>
        <v>349.770827869</v>
      </c>
      <c r="F142" s="69">
        <f>E142*C142</f>
        <v>13.99083311476</v>
      </c>
    </row>
    <row r="143" ht="15.6" customHeight="1" spans="1:6">
      <c r="A143" s="7" t="s">
        <v>83</v>
      </c>
      <c r="B143" s="7" t="s">
        <v>848</v>
      </c>
      <c r="C143" s="230">
        <f>取费表!$F$4</f>
        <v>0.05</v>
      </c>
      <c r="D143" s="7"/>
      <c r="E143" s="34">
        <f>F142+F132</f>
        <v>363.76166098376</v>
      </c>
      <c r="F143" s="69">
        <f>E143*C143</f>
        <v>18.188083049188</v>
      </c>
    </row>
    <row r="144" ht="15.6" customHeight="1" spans="1:6">
      <c r="A144" s="7" t="s">
        <v>121</v>
      </c>
      <c r="B144" s="7" t="s">
        <v>861</v>
      </c>
      <c r="C144" s="9"/>
      <c r="D144" s="34"/>
      <c r="E144" s="7"/>
      <c r="F144" s="69">
        <f>F145</f>
        <v>153.41168</v>
      </c>
    </row>
    <row r="145" ht="15.6" customHeight="1" spans="1:6">
      <c r="A145" s="7"/>
      <c r="B145" s="7" t="s">
        <v>862</v>
      </c>
      <c r="C145" s="9" t="s">
        <v>863</v>
      </c>
      <c r="D145" s="34">
        <f>D123</f>
        <v>4.58</v>
      </c>
      <c r="E145" s="38">
        <f>E138*台时!E14</f>
        <v>33.496</v>
      </c>
      <c r="F145" s="69">
        <f>E145*D145</f>
        <v>153.41168</v>
      </c>
    </row>
    <row r="146" ht="15.6" customHeight="1" spans="1:6">
      <c r="A146" s="7" t="s">
        <v>135</v>
      </c>
      <c r="B146" s="7" t="s">
        <v>849</v>
      </c>
      <c r="C146" s="231">
        <f>C124</f>
        <v>0.09</v>
      </c>
      <c r="D146" s="7"/>
      <c r="E146" s="34">
        <f>F132+F142+F143+F144</f>
        <v>535.361424032948</v>
      </c>
      <c r="F146" s="69">
        <f>E146*C146</f>
        <v>48.1825281629653</v>
      </c>
    </row>
    <row r="147" ht="15.6" customHeight="1" spans="1:6">
      <c r="A147" s="7"/>
      <c r="B147" s="7" t="s">
        <v>850</v>
      </c>
      <c r="C147" s="231"/>
      <c r="D147" s="7"/>
      <c r="E147" s="34"/>
      <c r="F147" s="69">
        <f>(F132+F142+F143+F144+F146)*取费表!H4</f>
        <v>17.5063185658774</v>
      </c>
    </row>
    <row r="148" ht="15.6" customHeight="1" spans="1:6">
      <c r="A148" s="7"/>
      <c r="B148" s="7" t="s">
        <v>156</v>
      </c>
      <c r="C148" s="7"/>
      <c r="D148" s="7"/>
      <c r="E148" s="7"/>
      <c r="F148" s="69">
        <f>F132+F142+F143+F144+F146+F147</f>
        <v>601.050270761791</v>
      </c>
    </row>
    <row r="149" ht="15.6" customHeight="1" spans="1:6">
      <c r="A149" s="96"/>
      <c r="B149" s="96"/>
      <c r="C149" s="96"/>
      <c r="D149" s="96"/>
      <c r="E149" s="96"/>
      <c r="F149" s="243"/>
    </row>
    <row r="150" ht="15" customHeight="1" spans="1:6">
      <c r="A150" s="224" t="s">
        <v>828</v>
      </c>
      <c r="B150" s="225"/>
      <c r="C150" s="225"/>
      <c r="D150" s="225"/>
      <c r="E150" s="225"/>
      <c r="F150" s="225"/>
    </row>
    <row r="151" ht="15" customHeight="1" spans="1:6">
      <c r="A151" s="244" t="s">
        <v>875</v>
      </c>
      <c r="B151" s="244"/>
      <c r="C151" s="244"/>
      <c r="D151" s="244"/>
      <c r="E151" s="244"/>
      <c r="F151" s="244"/>
    </row>
    <row r="152" ht="15" customHeight="1" spans="1:6">
      <c r="A152" s="228" t="s">
        <v>876</v>
      </c>
      <c r="B152" s="228"/>
      <c r="C152" s="229"/>
      <c r="D152" s="229"/>
      <c r="E152" s="228" t="s">
        <v>832</v>
      </c>
      <c r="F152" s="228"/>
    </row>
    <row r="153" ht="15" customHeight="1" spans="1:6">
      <c r="A153" s="146" t="s">
        <v>877</v>
      </c>
      <c r="B153" s="233"/>
      <c r="C153" s="233"/>
      <c r="D153" s="233"/>
      <c r="E153" s="233"/>
      <c r="F153" s="147"/>
    </row>
    <row r="154" ht="15" customHeight="1" spans="1:6">
      <c r="A154" s="7" t="s">
        <v>104</v>
      </c>
      <c r="B154" s="7" t="s">
        <v>835</v>
      </c>
      <c r="C154" s="7" t="s">
        <v>159</v>
      </c>
      <c r="D154" s="7" t="s">
        <v>422</v>
      </c>
      <c r="E154" s="7" t="s">
        <v>160</v>
      </c>
      <c r="F154" s="7" t="s">
        <v>18</v>
      </c>
    </row>
    <row r="155" ht="15" customHeight="1" spans="1:6">
      <c r="A155" s="7" t="s">
        <v>836</v>
      </c>
      <c r="B155" s="7" t="s">
        <v>837</v>
      </c>
      <c r="C155" s="7"/>
      <c r="D155" s="7"/>
      <c r="E155" s="7"/>
      <c r="F155" s="34">
        <f>F156+F163+F164</f>
        <v>165.614692946105</v>
      </c>
    </row>
    <row r="156" ht="15" customHeight="1" spans="1:6">
      <c r="A156" s="7" t="s">
        <v>539</v>
      </c>
      <c r="B156" s="7" t="s">
        <v>838</v>
      </c>
      <c r="C156" s="7"/>
      <c r="D156" s="7"/>
      <c r="E156" s="7"/>
      <c r="F156" s="34">
        <f>F157+F160+F162</f>
        <v>158.029287162314</v>
      </c>
    </row>
    <row r="157" ht="15" customHeight="1" spans="1:6">
      <c r="A157" s="7">
        <v>1</v>
      </c>
      <c r="B157" s="7" t="s">
        <v>839</v>
      </c>
      <c r="C157" s="7" t="s">
        <v>840</v>
      </c>
      <c r="D157" s="69"/>
      <c r="E157" s="69">
        <f>SUM(E158:E159)</f>
        <v>4.1</v>
      </c>
      <c r="F157" s="69">
        <f>SUM(F158:F159)</f>
        <v>23.657</v>
      </c>
    </row>
    <row r="158" s="217" customFormat="1" ht="15" customHeight="1" spans="1:6">
      <c r="A158" s="7"/>
      <c r="B158" s="7" t="s">
        <v>841</v>
      </c>
      <c r="C158" s="7" t="s">
        <v>840</v>
      </c>
      <c r="D158" s="69">
        <f>D91</f>
        <v>8.1</v>
      </c>
      <c r="E158" s="69">
        <v>0</v>
      </c>
      <c r="F158" s="69">
        <f>D158*E158</f>
        <v>0</v>
      </c>
    </row>
    <row r="159" s="217" customFormat="1" ht="15" customHeight="1" spans="1:6">
      <c r="A159" s="7"/>
      <c r="B159" s="7" t="s">
        <v>842</v>
      </c>
      <c r="C159" s="7" t="s">
        <v>840</v>
      </c>
      <c r="D159" s="69">
        <f>D92</f>
        <v>5.77</v>
      </c>
      <c r="E159" s="69">
        <f>4.1</f>
        <v>4.1</v>
      </c>
      <c r="F159" s="69">
        <f>D159*E159</f>
        <v>23.657</v>
      </c>
    </row>
    <row r="160" ht="15" customHeight="1" spans="1:6">
      <c r="A160" s="7">
        <v>2</v>
      </c>
      <c r="B160" s="7" t="s">
        <v>859</v>
      </c>
      <c r="C160" s="7"/>
      <c r="D160" s="7"/>
      <c r="E160" s="7"/>
      <c r="F160" s="69">
        <f>F161</f>
        <v>126.847083011727</v>
      </c>
    </row>
    <row r="161" ht="15" customHeight="1" spans="1:6">
      <c r="A161" s="7"/>
      <c r="B161" s="245" t="s">
        <v>878</v>
      </c>
      <c r="C161" s="7" t="s">
        <v>428</v>
      </c>
      <c r="D161" s="69">
        <f>台时!C21</f>
        <v>118.94887754288</v>
      </c>
      <c r="E161" s="38">
        <f>0.86*1.24</f>
        <v>1.0664</v>
      </c>
      <c r="F161" s="69">
        <f>D161*E161</f>
        <v>126.847083011727</v>
      </c>
    </row>
    <row r="162" ht="15" customHeight="1" spans="1:6">
      <c r="A162" s="7">
        <v>3</v>
      </c>
      <c r="B162" s="7" t="s">
        <v>844</v>
      </c>
      <c r="C162" s="9" t="s">
        <v>845</v>
      </c>
      <c r="D162" s="34">
        <f>F157+F161</f>
        <v>150.504083011727</v>
      </c>
      <c r="E162" s="7">
        <v>5</v>
      </c>
      <c r="F162" s="69">
        <f>D162*E162/100</f>
        <v>7.52520415058636</v>
      </c>
    </row>
    <row r="163" ht="15" customHeight="1" spans="1:6">
      <c r="A163" s="7" t="s">
        <v>564</v>
      </c>
      <c r="B163" s="7" t="s">
        <v>846</v>
      </c>
      <c r="C163" s="230">
        <f>取费表!$C$4</f>
        <v>0.048</v>
      </c>
      <c r="D163" s="7"/>
      <c r="E163" s="34">
        <f>F156</f>
        <v>158.029287162314</v>
      </c>
      <c r="F163" s="69">
        <f>E163*C163</f>
        <v>7.58540578379105</v>
      </c>
    </row>
    <row r="164" ht="15" customHeight="1" spans="1:6">
      <c r="A164" s="7"/>
      <c r="B164" s="7"/>
      <c r="C164" s="230"/>
      <c r="D164" s="7"/>
      <c r="E164" s="34"/>
      <c r="F164" s="69"/>
    </row>
    <row r="165" ht="15" customHeight="1" spans="1:6">
      <c r="A165" s="7" t="s">
        <v>439</v>
      </c>
      <c r="B165" s="7" t="s">
        <v>847</v>
      </c>
      <c r="C165" s="230">
        <f>取费表!$E$4</f>
        <v>0.04</v>
      </c>
      <c r="D165" s="7"/>
      <c r="E165" s="34">
        <f>F155</f>
        <v>165.614692946105</v>
      </c>
      <c r="F165" s="69">
        <f>E165*C165</f>
        <v>6.62458771784418</v>
      </c>
    </row>
    <row r="166" ht="15" customHeight="1" spans="1:6">
      <c r="A166" s="7" t="s">
        <v>83</v>
      </c>
      <c r="B166" s="7" t="s">
        <v>848</v>
      </c>
      <c r="C166" s="230">
        <f>取费表!$F$4</f>
        <v>0.05</v>
      </c>
      <c r="D166" s="7"/>
      <c r="E166" s="34">
        <f>F165+F155</f>
        <v>172.239280663949</v>
      </c>
      <c r="F166" s="69">
        <f>E166*C166</f>
        <v>8.61196403319744</v>
      </c>
    </row>
    <row r="167" ht="15" customHeight="1" spans="1:6">
      <c r="A167" s="7" t="s">
        <v>121</v>
      </c>
      <c r="B167" s="7" t="s">
        <v>861</v>
      </c>
      <c r="C167" s="9"/>
      <c r="D167" s="7"/>
      <c r="E167" s="246"/>
      <c r="F167" s="69">
        <f>F168</f>
        <v>69.3543904</v>
      </c>
    </row>
    <row r="168" ht="15" customHeight="1" spans="1:6">
      <c r="A168" s="7"/>
      <c r="B168" s="7" t="s">
        <v>862</v>
      </c>
      <c r="C168" s="9" t="s">
        <v>863</v>
      </c>
      <c r="D168" s="34">
        <f>材料预算价!K11-材料预算价!L11</f>
        <v>4.58</v>
      </c>
      <c r="E168" s="38">
        <f>E161*台时!C14</f>
        <v>15.14288</v>
      </c>
      <c r="F168" s="69">
        <f>E168*D168</f>
        <v>69.3543904</v>
      </c>
    </row>
    <row r="169" ht="15" customHeight="1" spans="1:6">
      <c r="A169" s="7" t="s">
        <v>135</v>
      </c>
      <c r="B169" s="7" t="s">
        <v>849</v>
      </c>
      <c r="C169" s="231">
        <f>C146</f>
        <v>0.09</v>
      </c>
      <c r="D169" s="7"/>
      <c r="E169" s="247">
        <f>F167+F166+F165+F155</f>
        <v>250.205635097147</v>
      </c>
      <c r="F169" s="69">
        <f>E169*C169</f>
        <v>22.5185071587432</v>
      </c>
    </row>
    <row r="170" ht="15" customHeight="1" spans="1:6">
      <c r="A170" s="7"/>
      <c r="B170" s="7" t="s">
        <v>850</v>
      </c>
      <c r="C170" s="231"/>
      <c r="D170" s="7"/>
      <c r="E170" s="247"/>
      <c r="F170" s="69">
        <f>(F155+F165+F166+F167+F169)*取费表!H4</f>
        <v>8.18172426767669</v>
      </c>
    </row>
    <row r="171" ht="15" customHeight="1" spans="1:6">
      <c r="A171" s="7"/>
      <c r="B171" s="7" t="s">
        <v>156</v>
      </c>
      <c r="C171" s="7"/>
      <c r="D171" s="7"/>
      <c r="E171" s="7"/>
      <c r="F171" s="69">
        <f>F169+F167+F166+F165+F155+F170</f>
        <v>280.905866523567</v>
      </c>
    </row>
    <row r="172" ht="15" customHeight="1" spans="1:6">
      <c r="A172" s="224" t="s">
        <v>828</v>
      </c>
      <c r="B172" s="225"/>
      <c r="C172" s="225"/>
      <c r="D172" s="225"/>
      <c r="E172" s="225"/>
      <c r="F172" s="225"/>
    </row>
    <row r="173" ht="15" customHeight="1" spans="1:6">
      <c r="A173" s="244" t="s">
        <v>879</v>
      </c>
      <c r="B173" s="244"/>
      <c r="C173" s="244"/>
      <c r="D173" s="244"/>
      <c r="E173" s="244"/>
      <c r="F173" s="244"/>
    </row>
    <row r="174" ht="15" customHeight="1" spans="1:6">
      <c r="A174" s="228" t="s">
        <v>880</v>
      </c>
      <c r="B174" s="228"/>
      <c r="C174" s="229"/>
      <c r="D174" s="229"/>
      <c r="E174" s="228" t="s">
        <v>832</v>
      </c>
      <c r="F174" s="228"/>
    </row>
    <row r="175" ht="15" customHeight="1" spans="1:6">
      <c r="A175" s="146" t="s">
        <v>877</v>
      </c>
      <c r="B175" s="233"/>
      <c r="C175" s="233"/>
      <c r="D175" s="233"/>
      <c r="E175" s="233"/>
      <c r="F175" s="147"/>
    </row>
    <row r="176" ht="15" customHeight="1" spans="1:6">
      <c r="A176" s="7" t="s">
        <v>104</v>
      </c>
      <c r="B176" s="7" t="s">
        <v>835</v>
      </c>
      <c r="C176" s="7" t="s">
        <v>159</v>
      </c>
      <c r="D176" s="7" t="s">
        <v>422</v>
      </c>
      <c r="E176" s="7" t="s">
        <v>160</v>
      </c>
      <c r="F176" s="7" t="s">
        <v>18</v>
      </c>
    </row>
    <row r="177" ht="15" customHeight="1" spans="1:6">
      <c r="A177" s="7" t="s">
        <v>836</v>
      </c>
      <c r="B177" s="7" t="s">
        <v>837</v>
      </c>
      <c r="C177" s="7"/>
      <c r="D177" s="7"/>
      <c r="E177" s="7"/>
      <c r="F177" s="34">
        <f>F178+F185+F186</f>
        <v>180.222167031162</v>
      </c>
    </row>
    <row r="178" ht="15" customHeight="1" spans="1:6">
      <c r="A178" s="7" t="s">
        <v>539</v>
      </c>
      <c r="B178" s="7" t="s">
        <v>838</v>
      </c>
      <c r="C178" s="7"/>
      <c r="D178" s="7"/>
      <c r="E178" s="7"/>
      <c r="F178" s="34">
        <f>F179+F182+F184</f>
        <v>171.967716632788</v>
      </c>
    </row>
    <row r="179" ht="15" customHeight="1" spans="1:6">
      <c r="A179" s="7">
        <v>1</v>
      </c>
      <c r="B179" s="7" t="s">
        <v>839</v>
      </c>
      <c r="C179" s="7" t="s">
        <v>840</v>
      </c>
      <c r="D179" s="69"/>
      <c r="E179" s="69">
        <f>SUM(E180:E181)</f>
        <v>4.1</v>
      </c>
      <c r="F179" s="69">
        <f>SUM(F180:F181)</f>
        <v>23.657</v>
      </c>
    </row>
    <row r="180" ht="15" customHeight="1" spans="1:6">
      <c r="A180" s="7"/>
      <c r="B180" s="7" t="s">
        <v>841</v>
      </c>
      <c r="C180" s="7" t="s">
        <v>840</v>
      </c>
      <c r="D180" s="69">
        <f>D113</f>
        <v>8.1</v>
      </c>
      <c r="E180" s="69">
        <v>0</v>
      </c>
      <c r="F180" s="69">
        <f>D180*E180</f>
        <v>0</v>
      </c>
    </row>
    <row r="181" ht="15" customHeight="1" spans="1:6">
      <c r="A181" s="7"/>
      <c r="B181" s="7" t="s">
        <v>842</v>
      </c>
      <c r="C181" s="7" t="s">
        <v>840</v>
      </c>
      <c r="D181" s="69">
        <f>D114</f>
        <v>5.77</v>
      </c>
      <c r="E181" s="69">
        <f>4.1</f>
        <v>4.1</v>
      </c>
      <c r="F181" s="69">
        <f>D181*E181</f>
        <v>23.657</v>
      </c>
    </row>
    <row r="182" ht="15" customHeight="1" spans="1:6">
      <c r="A182" s="7">
        <v>2</v>
      </c>
      <c r="B182" s="7" t="s">
        <v>859</v>
      </c>
      <c r="C182" s="7"/>
      <c r="D182" s="7"/>
      <c r="E182" s="7"/>
      <c r="F182" s="69">
        <f>F183</f>
        <v>140.121777745513</v>
      </c>
    </row>
    <row r="183" ht="15" customHeight="1" spans="1:6">
      <c r="A183" s="7"/>
      <c r="B183" s="245" t="s">
        <v>878</v>
      </c>
      <c r="C183" s="7" t="s">
        <v>428</v>
      </c>
      <c r="D183" s="69">
        <f>D161</f>
        <v>118.94887754288</v>
      </c>
      <c r="E183" s="38">
        <f>0.95*1.24</f>
        <v>1.178</v>
      </c>
      <c r="F183" s="69">
        <f>D183*E183</f>
        <v>140.121777745513</v>
      </c>
    </row>
    <row r="184" ht="15" customHeight="1" spans="1:6">
      <c r="A184" s="7">
        <v>3</v>
      </c>
      <c r="B184" s="7" t="s">
        <v>844</v>
      </c>
      <c r="C184" s="9" t="s">
        <v>845</v>
      </c>
      <c r="D184" s="34">
        <f>F179+F183</f>
        <v>163.778777745513</v>
      </c>
      <c r="E184" s="7">
        <v>5</v>
      </c>
      <c r="F184" s="69">
        <f>D184*E184/100</f>
        <v>8.18893888727563</v>
      </c>
    </row>
    <row r="185" ht="15" customHeight="1" spans="1:6">
      <c r="A185" s="7" t="s">
        <v>564</v>
      </c>
      <c r="B185" s="7" t="s">
        <v>846</v>
      </c>
      <c r="C185" s="230">
        <f>取费表!$C$4</f>
        <v>0.048</v>
      </c>
      <c r="D185" s="7"/>
      <c r="E185" s="34">
        <f>F178</f>
        <v>171.967716632788</v>
      </c>
      <c r="F185" s="69">
        <f>E185*C185</f>
        <v>8.25445039837383</v>
      </c>
    </row>
    <row r="186" ht="15" customHeight="1" spans="1:6">
      <c r="A186" s="7"/>
      <c r="B186" s="7"/>
      <c r="C186" s="230"/>
      <c r="D186" s="7"/>
      <c r="E186" s="34"/>
      <c r="F186" s="69"/>
    </row>
    <row r="187" ht="15" customHeight="1" spans="1:6">
      <c r="A187" s="7" t="s">
        <v>439</v>
      </c>
      <c r="B187" s="7" t="s">
        <v>847</v>
      </c>
      <c r="C187" s="230">
        <f>取费表!$E$4</f>
        <v>0.04</v>
      </c>
      <c r="D187" s="7"/>
      <c r="E187" s="34">
        <f>F177</f>
        <v>180.222167031162</v>
      </c>
      <c r="F187" s="69">
        <f>E187*C187</f>
        <v>7.20888668124648</v>
      </c>
    </row>
    <row r="188" ht="15" customHeight="1" spans="1:6">
      <c r="A188" s="7" t="s">
        <v>83</v>
      </c>
      <c r="B188" s="7" t="s">
        <v>848</v>
      </c>
      <c r="C188" s="230">
        <f>取费表!$F$4</f>
        <v>0.05</v>
      </c>
      <c r="D188" s="7"/>
      <c r="E188" s="34">
        <f>F187+F177</f>
        <v>187.431053712408</v>
      </c>
      <c r="F188" s="69">
        <f>E188*C188</f>
        <v>9.37155268562043</v>
      </c>
    </row>
    <row r="189" ht="15" customHeight="1" spans="1:6">
      <c r="A189" s="7" t="s">
        <v>121</v>
      </c>
      <c r="B189" s="7" t="s">
        <v>861</v>
      </c>
      <c r="C189" s="9"/>
      <c r="D189" s="7"/>
      <c r="E189" s="246"/>
      <c r="F189" s="69">
        <f>F190</f>
        <v>76.612408</v>
      </c>
    </row>
    <row r="190" ht="15" customHeight="1" spans="1:6">
      <c r="A190" s="7"/>
      <c r="B190" s="7" t="s">
        <v>862</v>
      </c>
      <c r="C190" s="9" t="s">
        <v>863</v>
      </c>
      <c r="D190" s="34">
        <f>D168</f>
        <v>4.58</v>
      </c>
      <c r="E190" s="38">
        <f>E183*台时!C14</f>
        <v>16.7276</v>
      </c>
      <c r="F190" s="69">
        <f>E190*D190</f>
        <v>76.612408</v>
      </c>
    </row>
    <row r="191" ht="15" customHeight="1" spans="1:6">
      <c r="A191" s="7" t="s">
        <v>135</v>
      </c>
      <c r="B191" s="7" t="s">
        <v>849</v>
      </c>
      <c r="C191" s="231">
        <f>C169</f>
        <v>0.09</v>
      </c>
      <c r="D191" s="7"/>
      <c r="E191" s="247">
        <f>F189+F188+F187+F177</f>
        <v>273.415014398029</v>
      </c>
      <c r="F191" s="69">
        <f>E191*C191</f>
        <v>24.6073512958226</v>
      </c>
    </row>
    <row r="192" ht="15" customHeight="1" spans="1:6">
      <c r="A192" s="7"/>
      <c r="B192" s="7" t="s">
        <v>850</v>
      </c>
      <c r="C192" s="231"/>
      <c r="D192" s="7"/>
      <c r="E192" s="247"/>
      <c r="F192" s="69">
        <f>(F177+F187+F188+F189+F191)*取费表!H4</f>
        <v>8.94067097081554</v>
      </c>
    </row>
    <row r="193" ht="15" customHeight="1" spans="1:6">
      <c r="A193" s="7"/>
      <c r="B193" s="7" t="s">
        <v>156</v>
      </c>
      <c r="C193" s="7"/>
      <c r="D193" s="7"/>
      <c r="E193" s="7"/>
      <c r="F193" s="69">
        <f>F191+F189+F188+F187+F177+F192</f>
        <v>306.963036664667</v>
      </c>
    </row>
    <row r="194" ht="15" customHeight="1" spans="1:6">
      <c r="A194" s="7"/>
      <c r="B194" s="7"/>
      <c r="C194" s="231"/>
      <c r="D194" s="7"/>
      <c r="E194" s="34"/>
      <c r="F194" s="69"/>
    </row>
    <row r="195" ht="15" customHeight="1" spans="1:6">
      <c r="A195" s="248" t="s">
        <v>881</v>
      </c>
      <c r="B195" s="225"/>
      <c r="C195" s="225"/>
      <c r="D195" s="225"/>
      <c r="E195" s="225"/>
      <c r="F195" s="225"/>
    </row>
    <row r="196" ht="14.45" customHeight="1" spans="1:8">
      <c r="A196" s="249" t="s">
        <v>882</v>
      </c>
      <c r="B196" s="229"/>
      <c r="C196" s="229"/>
      <c r="D196" s="229"/>
      <c r="E196" s="229"/>
      <c r="F196" s="229"/>
      <c r="H196" s="223">
        <f>66/12</f>
        <v>5.5</v>
      </c>
    </row>
    <row r="197" ht="14.45" customHeight="1" spans="1:6">
      <c r="A197" s="227" t="s">
        <v>883</v>
      </c>
      <c r="B197" s="228"/>
      <c r="C197" s="229"/>
      <c r="D197" s="229"/>
      <c r="E197" s="228" t="s">
        <v>832</v>
      </c>
      <c r="F197" s="228"/>
    </row>
    <row r="198" ht="14.45" customHeight="1" spans="1:6">
      <c r="A198" s="232" t="s">
        <v>884</v>
      </c>
      <c r="B198" s="233"/>
      <c r="C198" s="234"/>
      <c r="D198" s="234"/>
      <c r="E198" s="234"/>
      <c r="F198" s="235"/>
    </row>
    <row r="199" ht="14.45" customHeight="1" spans="1:6">
      <c r="A199" s="7" t="s">
        <v>104</v>
      </c>
      <c r="B199" s="7" t="s">
        <v>835</v>
      </c>
      <c r="C199" s="7" t="s">
        <v>159</v>
      </c>
      <c r="D199" s="7" t="s">
        <v>422</v>
      </c>
      <c r="E199" s="7" t="s">
        <v>160</v>
      </c>
      <c r="F199" s="7" t="s">
        <v>18</v>
      </c>
    </row>
    <row r="200" ht="14.45" customHeight="1" spans="1:6">
      <c r="A200" s="7" t="s">
        <v>836</v>
      </c>
      <c r="B200" s="7" t="s">
        <v>837</v>
      </c>
      <c r="C200" s="7"/>
      <c r="D200" s="7"/>
      <c r="E200" s="7"/>
      <c r="F200" s="34">
        <f>F201+F210+F211</f>
        <v>457.36658990854</v>
      </c>
    </row>
    <row r="201" ht="14.45" customHeight="1" spans="1:6">
      <c r="A201" s="7" t="s">
        <v>539</v>
      </c>
      <c r="B201" s="7" t="s">
        <v>838</v>
      </c>
      <c r="C201" s="7"/>
      <c r="D201" s="7"/>
      <c r="E201" s="7"/>
      <c r="F201" s="34">
        <f>F202+F205+F206</f>
        <v>436.418501821126</v>
      </c>
    </row>
    <row r="202" ht="14.45" customHeight="1" spans="1:6">
      <c r="A202" s="7">
        <v>1</v>
      </c>
      <c r="B202" s="7" t="s">
        <v>839</v>
      </c>
      <c r="C202" s="7" t="s">
        <v>840</v>
      </c>
      <c r="D202" s="69"/>
      <c r="E202" s="69">
        <f>SUM(E203:E204)</f>
        <v>4.732</v>
      </c>
      <c r="F202" s="69">
        <f>SUM(F203:F204)</f>
        <v>27.30364</v>
      </c>
    </row>
    <row r="203" s="217" customFormat="1" ht="14.45" customHeight="1" spans="1:6">
      <c r="A203" s="7"/>
      <c r="B203" s="7" t="s">
        <v>841</v>
      </c>
      <c r="C203" s="7" t="s">
        <v>840</v>
      </c>
      <c r="D203" s="69">
        <f>D158</f>
        <v>8.1</v>
      </c>
      <c r="E203" s="69">
        <v>0</v>
      </c>
      <c r="F203" s="69">
        <f t="shared" ref="F203:F209" si="6">D203*E203</f>
        <v>0</v>
      </c>
    </row>
    <row r="204" s="217" customFormat="1" ht="14.45" customHeight="1" spans="1:6">
      <c r="A204" s="7"/>
      <c r="B204" s="7" t="s">
        <v>842</v>
      </c>
      <c r="C204" s="7" t="s">
        <v>840</v>
      </c>
      <c r="D204" s="69">
        <f>D159</f>
        <v>5.77</v>
      </c>
      <c r="E204" s="69">
        <f>5.2*0.91</f>
        <v>4.732</v>
      </c>
      <c r="F204" s="69">
        <f t="shared" si="6"/>
        <v>27.30364</v>
      </c>
    </row>
    <row r="205" ht="14.45" customHeight="1" spans="1:6">
      <c r="A205" s="7">
        <v>2</v>
      </c>
      <c r="B205" s="7" t="s">
        <v>844</v>
      </c>
      <c r="C205" s="9" t="s">
        <v>845</v>
      </c>
      <c r="D205" s="34">
        <f>F202+F206</f>
        <v>417.425635409972</v>
      </c>
      <c r="E205" s="7">
        <f>5*0.91</f>
        <v>4.55</v>
      </c>
      <c r="F205" s="69">
        <f>D205*E205/100</f>
        <v>18.9928664111537</v>
      </c>
    </row>
    <row r="206" ht="14.45" customHeight="1" spans="1:6">
      <c r="A206" s="7">
        <v>3</v>
      </c>
      <c r="B206" s="7" t="s">
        <v>859</v>
      </c>
      <c r="C206" s="7"/>
      <c r="D206" s="7"/>
      <c r="E206" s="7"/>
      <c r="F206" s="69">
        <f>SUM(F207:F209)</f>
        <v>390.121995409972</v>
      </c>
    </row>
    <row r="207" ht="14.45" customHeight="1" spans="1:6">
      <c r="A207" s="7"/>
      <c r="B207" s="7" t="s">
        <v>885</v>
      </c>
      <c r="C207" s="7" t="s">
        <v>428</v>
      </c>
      <c r="D207" s="69">
        <f>台时!C21</f>
        <v>118.94887754288</v>
      </c>
      <c r="E207" s="38">
        <f>1.04*0.91</f>
        <v>0.9464</v>
      </c>
      <c r="F207" s="69">
        <f t="shared" si="6"/>
        <v>112.573217706582</v>
      </c>
    </row>
    <row r="208" ht="14.45" customHeight="1" spans="1:6">
      <c r="A208" s="7"/>
      <c r="B208" s="7" t="s">
        <v>886</v>
      </c>
      <c r="C208" s="7" t="s">
        <v>428</v>
      </c>
      <c r="D208" s="69">
        <f>台时!D21</f>
        <v>66.3822584762664</v>
      </c>
      <c r="E208" s="69">
        <f>0.52*0.91</f>
        <v>0.4732</v>
      </c>
      <c r="F208" s="69">
        <f t="shared" si="6"/>
        <v>31.4120847109693</v>
      </c>
    </row>
    <row r="209" ht="14.45" customHeight="1" spans="1:6">
      <c r="A209" s="7"/>
      <c r="B209" s="7" t="s">
        <v>887</v>
      </c>
      <c r="C209" s="7" t="s">
        <v>428</v>
      </c>
      <c r="D209" s="69">
        <f>台时!G189</f>
        <v>73.10267092142</v>
      </c>
      <c r="E209" s="69">
        <f>3.7*0.91</f>
        <v>3.367</v>
      </c>
      <c r="F209" s="69">
        <f t="shared" si="6"/>
        <v>246.136692992421</v>
      </c>
    </row>
    <row r="210" ht="14.45" customHeight="1" spans="1:6">
      <c r="A210" s="7" t="s">
        <v>564</v>
      </c>
      <c r="B210" s="7" t="s">
        <v>846</v>
      </c>
      <c r="C210" s="230">
        <f>取费表!$C$4</f>
        <v>0.048</v>
      </c>
      <c r="D210" s="34"/>
      <c r="E210" s="34">
        <f>F201</f>
        <v>436.418501821126</v>
      </c>
      <c r="F210" s="69">
        <f>E210*C210</f>
        <v>20.948088087414</v>
      </c>
    </row>
    <row r="211" ht="14.45" customHeight="1" spans="1:6">
      <c r="A211" s="7"/>
      <c r="B211" s="7"/>
      <c r="C211" s="230"/>
      <c r="D211" s="34"/>
      <c r="E211" s="38"/>
      <c r="F211" s="69"/>
    </row>
    <row r="212" ht="14.45" customHeight="1" spans="1:6">
      <c r="A212" s="7" t="s">
        <v>439</v>
      </c>
      <c r="B212" s="7" t="s">
        <v>847</v>
      </c>
      <c r="C212" s="230">
        <f>取费表!$E$4</f>
        <v>0.04</v>
      </c>
      <c r="D212" s="7"/>
      <c r="E212" s="34">
        <f>F200</f>
        <v>457.36658990854</v>
      </c>
      <c r="F212" s="69">
        <f>E212*C212</f>
        <v>18.2946635963416</v>
      </c>
    </row>
    <row r="213" ht="14.45" customHeight="1" spans="1:6">
      <c r="A213" s="7" t="s">
        <v>83</v>
      </c>
      <c r="B213" s="7" t="s">
        <v>848</v>
      </c>
      <c r="C213" s="230">
        <f>取费表!$F$4</f>
        <v>0.05</v>
      </c>
      <c r="D213" s="7"/>
      <c r="E213" s="34">
        <f>F212+F200</f>
        <v>475.661253504881</v>
      </c>
      <c r="F213" s="69">
        <f>E213*C213</f>
        <v>23.7830626752441</v>
      </c>
    </row>
    <row r="214" ht="14.45" customHeight="1" spans="1:6">
      <c r="A214" s="7" t="s">
        <v>121</v>
      </c>
      <c r="B214" s="7" t="s">
        <v>861</v>
      </c>
      <c r="C214" s="9"/>
      <c r="D214" s="7"/>
      <c r="E214" s="246"/>
      <c r="F214" s="69">
        <f>F215</f>
        <v>237.0477928</v>
      </c>
    </row>
    <row r="215" ht="14.45" customHeight="1" spans="1:6">
      <c r="A215" s="7"/>
      <c r="B215" s="7" t="s">
        <v>862</v>
      </c>
      <c r="C215" s="9" t="s">
        <v>863</v>
      </c>
      <c r="D215" s="34">
        <f>材料预算价!K11-材料预算价!L11</f>
        <v>4.58</v>
      </c>
      <c r="E215" s="38">
        <f>E207*台时!C14+新定额单价!E208*台时!D14+新定额单价!E209*台时!G245</f>
        <v>51.75716</v>
      </c>
      <c r="F215" s="69">
        <f>E215*D215</f>
        <v>237.0477928</v>
      </c>
    </row>
    <row r="216" ht="14.45" customHeight="1" spans="1:6">
      <c r="A216" s="7" t="s">
        <v>135</v>
      </c>
      <c r="B216" s="7" t="s">
        <v>849</v>
      </c>
      <c r="C216" s="231">
        <f>C191</f>
        <v>0.09</v>
      </c>
      <c r="D216" s="7"/>
      <c r="E216" s="34">
        <f>F214+F213+F200+F212</f>
        <v>736.492108980126</v>
      </c>
      <c r="F216" s="69">
        <f>E216*C216</f>
        <v>66.2842898082113</v>
      </c>
    </row>
    <row r="217" ht="14.45" customHeight="1" spans="1:6">
      <c r="A217" s="7"/>
      <c r="B217" s="7" t="s">
        <v>850</v>
      </c>
      <c r="C217" s="231"/>
      <c r="D217" s="7"/>
      <c r="E217" s="34"/>
      <c r="F217" s="69">
        <f>(F200+F212+F213+F214+F216)*取费表!H4</f>
        <v>24.0832919636501</v>
      </c>
    </row>
    <row r="218" ht="14.45" customHeight="1" spans="1:6">
      <c r="A218" s="7"/>
      <c r="B218" s="7" t="s">
        <v>156</v>
      </c>
      <c r="C218" s="7"/>
      <c r="D218" s="7"/>
      <c r="E218" s="7"/>
      <c r="F218" s="69">
        <f>(F216+F214+F213+F212+F200+F217)</f>
        <v>826.859690751987</v>
      </c>
    </row>
    <row r="219" ht="14.45" customHeight="1" spans="1:6">
      <c r="A219" s="248" t="s">
        <v>881</v>
      </c>
      <c r="B219" s="225"/>
      <c r="C219" s="225"/>
      <c r="D219" s="225"/>
      <c r="E219" s="225"/>
      <c r="F219" s="225"/>
    </row>
    <row r="220" ht="14.45" customHeight="1" spans="1:6">
      <c r="A220" s="249" t="s">
        <v>888</v>
      </c>
      <c r="B220" s="229"/>
      <c r="C220" s="229"/>
      <c r="D220" s="229"/>
      <c r="E220" s="229"/>
      <c r="F220" s="229"/>
    </row>
    <row r="221" ht="14.45" customHeight="1" spans="1:6">
      <c r="A221" s="227" t="s">
        <v>889</v>
      </c>
      <c r="B221" s="228"/>
      <c r="C221" s="229"/>
      <c r="D221" s="229"/>
      <c r="E221" s="228" t="s">
        <v>832</v>
      </c>
      <c r="F221" s="228"/>
    </row>
    <row r="222" ht="14.45" customHeight="1" spans="1:6">
      <c r="A222" s="232" t="s">
        <v>884</v>
      </c>
      <c r="B222" s="233"/>
      <c r="C222" s="234"/>
      <c r="D222" s="234"/>
      <c r="E222" s="234"/>
      <c r="F222" s="235"/>
    </row>
    <row r="223" ht="14.45" customHeight="1" spans="1:6">
      <c r="A223" s="7" t="s">
        <v>104</v>
      </c>
      <c r="B223" s="7" t="s">
        <v>835</v>
      </c>
      <c r="C223" s="7" t="s">
        <v>159</v>
      </c>
      <c r="D223" s="7" t="s">
        <v>422</v>
      </c>
      <c r="E223" s="7" t="s">
        <v>160</v>
      </c>
      <c r="F223" s="7" t="s">
        <v>18</v>
      </c>
    </row>
    <row r="224" ht="14.45" customHeight="1" spans="1:6">
      <c r="A224" s="7" t="s">
        <v>836</v>
      </c>
      <c r="B224" s="7" t="s">
        <v>837</v>
      </c>
      <c r="C224" s="7"/>
      <c r="D224" s="7"/>
      <c r="E224" s="7"/>
      <c r="F224" s="34">
        <f>F225+F234+F235</f>
        <v>504.744217911529</v>
      </c>
    </row>
    <row r="225" ht="14.45" customHeight="1" spans="1:6">
      <c r="A225" s="7" t="s">
        <v>539</v>
      </c>
      <c r="B225" s="7" t="s">
        <v>838</v>
      </c>
      <c r="C225" s="7"/>
      <c r="D225" s="7"/>
      <c r="E225" s="7"/>
      <c r="F225" s="34">
        <f>F226+F229+F230</f>
        <v>481.626162129322</v>
      </c>
    </row>
    <row r="226" ht="14.45" customHeight="1" spans="1:6">
      <c r="A226" s="7">
        <v>1</v>
      </c>
      <c r="B226" s="7" t="s">
        <v>839</v>
      </c>
      <c r="C226" s="7" t="s">
        <v>840</v>
      </c>
      <c r="D226" s="69"/>
      <c r="E226" s="69">
        <f>SUM(E227:E228)</f>
        <v>4.732</v>
      </c>
      <c r="F226" s="69">
        <f>SUM(F227:F228)</f>
        <v>27.30364</v>
      </c>
    </row>
    <row r="227" ht="14.45" customHeight="1" spans="1:6">
      <c r="A227" s="7"/>
      <c r="B227" s="7" t="s">
        <v>841</v>
      </c>
      <c r="C227" s="7" t="s">
        <v>840</v>
      </c>
      <c r="D227" s="69">
        <f>D203</f>
        <v>8.1</v>
      </c>
      <c r="E227" s="69">
        <v>0</v>
      </c>
      <c r="F227" s="69">
        <f>D227*E227</f>
        <v>0</v>
      </c>
    </row>
    <row r="228" ht="14.45" customHeight="1" spans="1:6">
      <c r="A228" s="7"/>
      <c r="B228" s="7" t="s">
        <v>842</v>
      </c>
      <c r="C228" s="7" t="s">
        <v>840</v>
      </c>
      <c r="D228" s="69">
        <f>D204</f>
        <v>5.77</v>
      </c>
      <c r="E228" s="69">
        <f>5.2*0.91</f>
        <v>4.732</v>
      </c>
      <c r="F228" s="69">
        <f>D228*E228</f>
        <v>27.30364</v>
      </c>
    </row>
    <row r="229" ht="14.45" customHeight="1" spans="1:6">
      <c r="A229" s="7">
        <v>2</v>
      </c>
      <c r="B229" s="7" t="s">
        <v>844</v>
      </c>
      <c r="C229" s="9" t="s">
        <v>845</v>
      </c>
      <c r="D229" s="34">
        <f>F226+F230</f>
        <v>460.665865259992</v>
      </c>
      <c r="E229" s="7">
        <f>5*0.91</f>
        <v>4.55</v>
      </c>
      <c r="F229" s="69">
        <f>D229*E229/100</f>
        <v>20.9602968693296</v>
      </c>
    </row>
    <row r="230" ht="14.45" customHeight="1" spans="1:6">
      <c r="A230" s="7">
        <v>3</v>
      </c>
      <c r="B230" s="7" t="s">
        <v>859</v>
      </c>
      <c r="C230" s="7"/>
      <c r="D230" s="7"/>
      <c r="E230" s="7"/>
      <c r="F230" s="69">
        <f>SUM(F231:F233)</f>
        <v>433.362225259992</v>
      </c>
    </row>
    <row r="231" ht="14.45" customHeight="1" spans="1:6">
      <c r="A231" s="7"/>
      <c r="B231" s="7" t="s">
        <v>885</v>
      </c>
      <c r="C231" s="7" t="s">
        <v>428</v>
      </c>
      <c r="D231" s="69">
        <f>D207</f>
        <v>118.94887754288</v>
      </c>
      <c r="E231" s="38">
        <f>1.04*0.91</f>
        <v>0.9464</v>
      </c>
      <c r="F231" s="69">
        <f>D231*E231</f>
        <v>112.573217706582</v>
      </c>
    </row>
    <row r="232" ht="14.45" customHeight="1" spans="1:6">
      <c r="A232" s="7"/>
      <c r="B232" s="7" t="s">
        <v>886</v>
      </c>
      <c r="C232" s="7" t="s">
        <v>428</v>
      </c>
      <c r="D232" s="69">
        <f>D208</f>
        <v>66.3822584762664</v>
      </c>
      <c r="E232" s="69">
        <f>0.52*0.91</f>
        <v>0.4732</v>
      </c>
      <c r="F232" s="69">
        <f>D232*E232</f>
        <v>31.4120847109693</v>
      </c>
    </row>
    <row r="233" ht="14.45" customHeight="1" spans="1:6">
      <c r="A233" s="7"/>
      <c r="B233" s="7" t="s">
        <v>887</v>
      </c>
      <c r="C233" s="7" t="s">
        <v>428</v>
      </c>
      <c r="D233" s="69">
        <f>D209</f>
        <v>73.10267092142</v>
      </c>
      <c r="E233" s="69">
        <f>4.35*0.91</f>
        <v>3.9585</v>
      </c>
      <c r="F233" s="69">
        <f>D233*E233</f>
        <v>289.376922842441</v>
      </c>
    </row>
    <row r="234" ht="14.45" customHeight="1" spans="1:6">
      <c r="A234" s="7" t="s">
        <v>564</v>
      </c>
      <c r="B234" s="7" t="s">
        <v>846</v>
      </c>
      <c r="C234" s="230">
        <f>取费表!$C$4</f>
        <v>0.048</v>
      </c>
      <c r="D234" s="34"/>
      <c r="E234" s="34">
        <f>F225</f>
        <v>481.626162129322</v>
      </c>
      <c r="F234" s="69">
        <f>E234*C234</f>
        <v>23.1180557822074</v>
      </c>
    </row>
    <row r="235" ht="14.45" customHeight="1" spans="1:6">
      <c r="A235" s="7"/>
      <c r="B235" s="7"/>
      <c r="C235" s="230"/>
      <c r="D235" s="34"/>
      <c r="E235" s="38"/>
      <c r="F235" s="69"/>
    </row>
    <row r="236" ht="14.45" customHeight="1" spans="1:6">
      <c r="A236" s="7" t="s">
        <v>439</v>
      </c>
      <c r="B236" s="7" t="s">
        <v>847</v>
      </c>
      <c r="C236" s="230">
        <f>取费表!$E$4</f>
        <v>0.04</v>
      </c>
      <c r="D236" s="7"/>
      <c r="E236" s="34">
        <f>F224</f>
        <v>504.744217911529</v>
      </c>
      <c r="F236" s="69">
        <f>E236*C236</f>
        <v>20.1897687164612</v>
      </c>
    </row>
    <row r="237" ht="14.45" customHeight="1" spans="1:6">
      <c r="A237" s="7" t="s">
        <v>83</v>
      </c>
      <c r="B237" s="7" t="s">
        <v>848</v>
      </c>
      <c r="C237" s="230">
        <f>取费表!$F$4</f>
        <v>0.05</v>
      </c>
      <c r="D237" s="7"/>
      <c r="E237" s="34">
        <f>F236+F224</f>
        <v>524.93398662799</v>
      </c>
      <c r="F237" s="69">
        <f>E237*C237</f>
        <v>26.2466993313995</v>
      </c>
    </row>
    <row r="238" ht="14.45" customHeight="1" spans="1:6">
      <c r="A238" s="7" t="s">
        <v>121</v>
      </c>
      <c r="B238" s="7" t="s">
        <v>861</v>
      </c>
      <c r="C238" s="9"/>
      <c r="D238" s="7"/>
      <c r="E238" s="246"/>
      <c r="F238" s="69">
        <f>F239</f>
        <v>264.6803068</v>
      </c>
    </row>
    <row r="239" ht="14.45" customHeight="1" spans="1:6">
      <c r="A239" s="7"/>
      <c r="B239" s="7" t="s">
        <v>862</v>
      </c>
      <c r="C239" s="9" t="s">
        <v>863</v>
      </c>
      <c r="D239" s="34">
        <f>D215</f>
        <v>4.58</v>
      </c>
      <c r="E239" s="38">
        <f>E231*台时!C14+新定额单价!E232*台时!D14+新定额单价!E233*台时!G182</f>
        <v>57.79046</v>
      </c>
      <c r="F239" s="69">
        <f>E239*D239</f>
        <v>264.6803068</v>
      </c>
    </row>
    <row r="240" ht="14.45" customHeight="1" spans="1:6">
      <c r="A240" s="7" t="s">
        <v>135</v>
      </c>
      <c r="B240" s="7" t="s">
        <v>849</v>
      </c>
      <c r="C240" s="231">
        <f>C216</f>
        <v>0.09</v>
      </c>
      <c r="D240" s="7"/>
      <c r="E240" s="34">
        <f>F238+F237+F224+F236</f>
        <v>815.86099275939</v>
      </c>
      <c r="F240" s="69">
        <f>E240*C240</f>
        <v>73.4274893483451</v>
      </c>
    </row>
    <row r="241" ht="14.45" customHeight="1" spans="1:6">
      <c r="A241" s="7"/>
      <c r="B241" s="7" t="s">
        <v>850</v>
      </c>
      <c r="C241" s="231"/>
      <c r="D241" s="7"/>
      <c r="E241" s="34"/>
      <c r="F241" s="69">
        <f>(F224+F236+F237+F238+F240)*取费表!H4</f>
        <v>26.678654463232</v>
      </c>
    </row>
    <row r="242" ht="14.45" customHeight="1" spans="1:6">
      <c r="A242" s="7"/>
      <c r="B242" s="7" t="s">
        <v>156</v>
      </c>
      <c r="C242" s="7"/>
      <c r="D242" s="7"/>
      <c r="E242" s="7"/>
      <c r="F242" s="69">
        <f>F240+F238+F237+F236+F224+F241</f>
        <v>915.967136570967</v>
      </c>
    </row>
    <row r="243" ht="14.45" customHeight="1" spans="1:12">
      <c r="A243" s="249" t="s">
        <v>890</v>
      </c>
      <c r="B243" s="229"/>
      <c r="C243" s="229"/>
      <c r="D243" s="229"/>
      <c r="E243" s="229"/>
      <c r="F243" s="229"/>
      <c r="G243" s="249" t="s">
        <v>891</v>
      </c>
      <c r="H243" s="229"/>
      <c r="I243" s="229"/>
      <c r="J243" s="229"/>
      <c r="K243" s="229"/>
      <c r="L243" s="229"/>
    </row>
    <row r="244" ht="14.45" customHeight="1" spans="1:12">
      <c r="A244" s="227" t="s">
        <v>892</v>
      </c>
      <c r="B244" s="228"/>
      <c r="C244" s="229"/>
      <c r="D244" s="229"/>
      <c r="E244" s="228" t="s">
        <v>832</v>
      </c>
      <c r="F244" s="228"/>
      <c r="G244" s="227" t="s">
        <v>893</v>
      </c>
      <c r="H244" s="228"/>
      <c r="I244" s="229"/>
      <c r="J244" s="229"/>
      <c r="K244" s="228" t="s">
        <v>832</v>
      </c>
      <c r="L244" s="228"/>
    </row>
    <row r="245" ht="14.45" customHeight="1" spans="1:12">
      <c r="A245" s="232" t="s">
        <v>884</v>
      </c>
      <c r="B245" s="233"/>
      <c r="C245" s="233"/>
      <c r="D245" s="233"/>
      <c r="E245" s="233"/>
      <c r="F245" s="147"/>
      <c r="G245" s="232" t="s">
        <v>884</v>
      </c>
      <c r="H245" s="233"/>
      <c r="I245" s="233"/>
      <c r="J245" s="233"/>
      <c r="K245" s="233"/>
      <c r="L245" s="147"/>
    </row>
    <row r="246" ht="14.45" customHeight="1" spans="1:12">
      <c r="A246" s="7" t="s">
        <v>104</v>
      </c>
      <c r="B246" s="7" t="s">
        <v>835</v>
      </c>
      <c r="C246" s="7" t="s">
        <v>159</v>
      </c>
      <c r="D246" s="7" t="s">
        <v>422</v>
      </c>
      <c r="E246" s="7" t="s">
        <v>160</v>
      </c>
      <c r="F246" s="7" t="s">
        <v>18</v>
      </c>
      <c r="G246" s="7" t="s">
        <v>104</v>
      </c>
      <c r="H246" s="7" t="s">
        <v>835</v>
      </c>
      <c r="I246" s="7" t="s">
        <v>159</v>
      </c>
      <c r="J246" s="7" t="s">
        <v>422</v>
      </c>
      <c r="K246" s="7" t="s">
        <v>160</v>
      </c>
      <c r="L246" s="7" t="s">
        <v>18</v>
      </c>
    </row>
    <row r="247" ht="14.45" customHeight="1" spans="1:12">
      <c r="A247" s="7" t="s">
        <v>836</v>
      </c>
      <c r="B247" s="7" t="s">
        <v>837</v>
      </c>
      <c r="C247" s="7"/>
      <c r="D247" s="7"/>
      <c r="E247" s="7"/>
      <c r="F247" s="34">
        <f>F248+F257+F258</f>
        <v>600.95724708683</v>
      </c>
      <c r="G247" s="7" t="s">
        <v>836</v>
      </c>
      <c r="H247" s="7" t="s">
        <v>837</v>
      </c>
      <c r="I247" s="7"/>
      <c r="J247" s="7"/>
      <c r="K247" s="7"/>
      <c r="L247" s="34">
        <f>L248+L257+L258</f>
        <v>670.201472629661</v>
      </c>
    </row>
    <row r="248" ht="14.45" customHeight="1" spans="1:12">
      <c r="A248" s="7" t="s">
        <v>539</v>
      </c>
      <c r="B248" s="7" t="s">
        <v>838</v>
      </c>
      <c r="C248" s="7"/>
      <c r="D248" s="7"/>
      <c r="E248" s="7"/>
      <c r="F248" s="34">
        <f>F249+F252+F253</f>
        <v>573.432487678273</v>
      </c>
      <c r="G248" s="7" t="s">
        <v>539</v>
      </c>
      <c r="H248" s="7" t="s">
        <v>838</v>
      </c>
      <c r="I248" s="7"/>
      <c r="J248" s="7"/>
      <c r="K248" s="7"/>
      <c r="L248" s="34">
        <f>L249+L252+L253</f>
        <v>639.505221974867</v>
      </c>
    </row>
    <row r="249" ht="14.45" customHeight="1" spans="1:12">
      <c r="A249" s="7">
        <v>1</v>
      </c>
      <c r="B249" s="7" t="s">
        <v>839</v>
      </c>
      <c r="C249" s="7" t="s">
        <v>840</v>
      </c>
      <c r="D249" s="69"/>
      <c r="E249" s="69">
        <f>SUM(E250:E251)</f>
        <v>4.732</v>
      </c>
      <c r="F249" s="69">
        <f>SUM(F250:F251)</f>
        <v>27.30364</v>
      </c>
      <c r="G249" s="7">
        <v>1</v>
      </c>
      <c r="H249" s="7" t="s">
        <v>839</v>
      </c>
      <c r="I249" s="7" t="s">
        <v>840</v>
      </c>
      <c r="J249" s="69"/>
      <c r="K249" s="69">
        <f>SUM(K250:K251)</f>
        <v>4.732</v>
      </c>
      <c r="L249" s="69">
        <f>SUM(L250:L251)</f>
        <v>27.30364</v>
      </c>
    </row>
    <row r="250" s="217" customFormat="1" ht="14.45" customHeight="1" spans="1:12">
      <c r="A250" s="7"/>
      <c r="B250" s="7" t="s">
        <v>841</v>
      </c>
      <c r="C250" s="7" t="s">
        <v>840</v>
      </c>
      <c r="D250" s="69">
        <f>D203</f>
        <v>8.1</v>
      </c>
      <c r="E250" s="69">
        <v>0</v>
      </c>
      <c r="F250" s="69">
        <f t="shared" ref="F250:F256" si="7">D250*E250</f>
        <v>0</v>
      </c>
      <c r="G250" s="7"/>
      <c r="H250" s="7" t="s">
        <v>841</v>
      </c>
      <c r="I250" s="7" t="s">
        <v>840</v>
      </c>
      <c r="J250" s="69">
        <f>D250</f>
        <v>8.1</v>
      </c>
      <c r="K250" s="69">
        <v>0</v>
      </c>
      <c r="L250" s="69">
        <f t="shared" ref="L250:L256" si="8">J250*K250</f>
        <v>0</v>
      </c>
    </row>
    <row r="251" s="217" customFormat="1" ht="14.45" customHeight="1" spans="1:12">
      <c r="A251" s="7"/>
      <c r="B251" s="7" t="s">
        <v>842</v>
      </c>
      <c r="C251" s="7" t="s">
        <v>840</v>
      </c>
      <c r="D251" s="69">
        <f>D204</f>
        <v>5.77</v>
      </c>
      <c r="E251" s="69">
        <f>5.2*0.91</f>
        <v>4.732</v>
      </c>
      <c r="F251" s="69">
        <f t="shared" si="7"/>
        <v>27.30364</v>
      </c>
      <c r="G251" s="7"/>
      <c r="H251" s="7" t="s">
        <v>842</v>
      </c>
      <c r="I251" s="7" t="s">
        <v>840</v>
      </c>
      <c r="J251" s="69">
        <f>D251</f>
        <v>5.77</v>
      </c>
      <c r="K251" s="69">
        <f>5.2*0.91</f>
        <v>4.732</v>
      </c>
      <c r="L251" s="69">
        <f t="shared" si="8"/>
        <v>27.30364</v>
      </c>
    </row>
    <row r="252" ht="14.45" customHeight="1" spans="1:12">
      <c r="A252" s="7">
        <v>2</v>
      </c>
      <c r="B252" s="7" t="s">
        <v>844</v>
      </c>
      <c r="C252" s="9" t="s">
        <v>845</v>
      </c>
      <c r="D252" s="34">
        <f>F249+F253</f>
        <v>548.476793570802</v>
      </c>
      <c r="E252" s="7">
        <f>5*0.91</f>
        <v>4.55</v>
      </c>
      <c r="F252" s="69">
        <f>D252*E252/100</f>
        <v>24.9556941074715</v>
      </c>
      <c r="G252" s="7">
        <v>2</v>
      </c>
      <c r="H252" s="7" t="s">
        <v>844</v>
      </c>
      <c r="I252" s="9" t="s">
        <v>845</v>
      </c>
      <c r="J252" s="34">
        <f>L249+L253</f>
        <v>611.674052582369</v>
      </c>
      <c r="K252" s="7">
        <f>5*0.91</f>
        <v>4.55</v>
      </c>
      <c r="L252" s="69">
        <f>J252*K252/100</f>
        <v>27.8311693924978</v>
      </c>
    </row>
    <row r="253" ht="14.45" customHeight="1" spans="1:12">
      <c r="A253" s="7">
        <v>3</v>
      </c>
      <c r="B253" s="7" t="s">
        <v>859</v>
      </c>
      <c r="C253" s="7"/>
      <c r="D253" s="7"/>
      <c r="E253" s="7"/>
      <c r="F253" s="69">
        <f>SUM(F254:F256)</f>
        <v>521.173153570802</v>
      </c>
      <c r="G253" s="7">
        <v>3</v>
      </c>
      <c r="H253" s="7" t="s">
        <v>859</v>
      </c>
      <c r="I253" s="7"/>
      <c r="J253" s="7"/>
      <c r="K253" s="7"/>
      <c r="L253" s="69">
        <f>SUM(L254:L256)</f>
        <v>584.370412582369</v>
      </c>
    </row>
    <row r="254" ht="14.45" customHeight="1" spans="1:12">
      <c r="A254" s="7"/>
      <c r="B254" s="7" t="s">
        <v>885</v>
      </c>
      <c r="C254" s="7" t="s">
        <v>428</v>
      </c>
      <c r="D254" s="69">
        <f>D207</f>
        <v>118.94887754288</v>
      </c>
      <c r="E254" s="38">
        <f>1.04*0.91</f>
        <v>0.9464</v>
      </c>
      <c r="F254" s="69">
        <f t="shared" si="7"/>
        <v>112.573217706582</v>
      </c>
      <c r="G254" s="7"/>
      <c r="H254" s="7" t="s">
        <v>885</v>
      </c>
      <c r="I254" s="7" t="s">
        <v>428</v>
      </c>
      <c r="J254" s="69">
        <f>D254</f>
        <v>118.94887754288</v>
      </c>
      <c r="K254" s="38">
        <f>1.04*0.91</f>
        <v>0.9464</v>
      </c>
      <c r="L254" s="69">
        <f t="shared" si="8"/>
        <v>112.573217706582</v>
      </c>
    </row>
    <row r="255" ht="14.45" customHeight="1" spans="1:12">
      <c r="A255" s="7"/>
      <c r="B255" s="7" t="s">
        <v>886</v>
      </c>
      <c r="C255" s="7" t="s">
        <v>428</v>
      </c>
      <c r="D255" s="69">
        <f>D208</f>
        <v>66.3822584762664</v>
      </c>
      <c r="E255" s="38">
        <f>0.52*0.91</f>
        <v>0.4732</v>
      </c>
      <c r="F255" s="69">
        <f t="shared" si="7"/>
        <v>31.4120847109693</v>
      </c>
      <c r="G255" s="7"/>
      <c r="H255" s="7" t="s">
        <v>886</v>
      </c>
      <c r="I255" s="7" t="s">
        <v>428</v>
      </c>
      <c r="J255" s="69">
        <f>D255</f>
        <v>66.3822584762664</v>
      </c>
      <c r="K255" s="38">
        <f>0.52*0.91</f>
        <v>0.4732</v>
      </c>
      <c r="L255" s="69">
        <f t="shared" si="8"/>
        <v>31.4120847109693</v>
      </c>
    </row>
    <row r="256" ht="14.45" customHeight="1" spans="1:12">
      <c r="A256" s="7"/>
      <c r="B256" s="7" t="s">
        <v>887</v>
      </c>
      <c r="C256" s="7" t="s">
        <v>428</v>
      </c>
      <c r="D256" s="69">
        <f>D209</f>
        <v>73.10267092142</v>
      </c>
      <c r="E256" s="38">
        <f>5.67*0.91</f>
        <v>5.1597</v>
      </c>
      <c r="F256" s="69">
        <f t="shared" si="7"/>
        <v>377.187851153251</v>
      </c>
      <c r="G256" s="7"/>
      <c r="H256" s="7" t="s">
        <v>887</v>
      </c>
      <c r="I256" s="7" t="s">
        <v>428</v>
      </c>
      <c r="J256" s="69">
        <f>D256</f>
        <v>73.10267092142</v>
      </c>
      <c r="K256" s="38">
        <f>6.62*0.91</f>
        <v>6.0242</v>
      </c>
      <c r="L256" s="69">
        <f t="shared" si="8"/>
        <v>440.385110164818</v>
      </c>
    </row>
    <row r="257" ht="14.45" customHeight="1" spans="1:12">
      <c r="A257" s="7" t="s">
        <v>564</v>
      </c>
      <c r="B257" s="7" t="s">
        <v>846</v>
      </c>
      <c r="C257" s="230">
        <f>取费表!$C$4</f>
        <v>0.048</v>
      </c>
      <c r="D257" s="69"/>
      <c r="E257" s="34">
        <f>F248</f>
        <v>573.432487678273</v>
      </c>
      <c r="F257" s="69">
        <f>E257*C257</f>
        <v>27.5247594085571</v>
      </c>
      <c r="G257" s="7" t="s">
        <v>564</v>
      </c>
      <c r="H257" s="7" t="s">
        <v>846</v>
      </c>
      <c r="I257" s="230">
        <f>取费表!$C$4</f>
        <v>0.048</v>
      </c>
      <c r="J257" s="69"/>
      <c r="K257" s="34">
        <f>L248</f>
        <v>639.505221974867</v>
      </c>
      <c r="L257" s="69">
        <f t="shared" ref="L257:L260" si="9">K257*I257</f>
        <v>30.6962506547936</v>
      </c>
    </row>
    <row r="258" ht="14.45" customHeight="1" spans="1:12">
      <c r="A258" s="7"/>
      <c r="B258" s="7"/>
      <c r="C258" s="230"/>
      <c r="D258" s="69"/>
      <c r="E258" s="34"/>
      <c r="F258" s="69"/>
      <c r="G258" s="7"/>
      <c r="H258" s="7"/>
      <c r="I258" s="230"/>
      <c r="J258" s="69"/>
      <c r="K258" s="34"/>
      <c r="L258" s="69"/>
    </row>
    <row r="259" ht="14.45" customHeight="1" spans="1:12">
      <c r="A259" s="7" t="s">
        <v>439</v>
      </c>
      <c r="B259" s="7" t="s">
        <v>847</v>
      </c>
      <c r="C259" s="230">
        <f>取费表!$E$4</f>
        <v>0.04</v>
      </c>
      <c r="D259" s="69"/>
      <c r="E259" s="34">
        <f>F247</f>
        <v>600.95724708683</v>
      </c>
      <c r="F259" s="69">
        <f>E259*C259</f>
        <v>24.0382898834732</v>
      </c>
      <c r="G259" s="7" t="s">
        <v>439</v>
      </c>
      <c r="H259" s="7" t="s">
        <v>847</v>
      </c>
      <c r="I259" s="230">
        <f>取费表!$E$4</f>
        <v>0.04</v>
      </c>
      <c r="J259" s="69"/>
      <c r="K259" s="34">
        <f>L247</f>
        <v>670.201472629661</v>
      </c>
      <c r="L259" s="69">
        <f t="shared" si="9"/>
        <v>26.8080589051864</v>
      </c>
    </row>
    <row r="260" ht="14.45" customHeight="1" spans="1:12">
      <c r="A260" s="7" t="s">
        <v>83</v>
      </c>
      <c r="B260" s="7" t="s">
        <v>848</v>
      </c>
      <c r="C260" s="230">
        <f>取费表!$F$4</f>
        <v>0.05</v>
      </c>
      <c r="D260" s="69"/>
      <c r="E260" s="34">
        <f>F259+F247</f>
        <v>624.995536970303</v>
      </c>
      <c r="F260" s="69">
        <f>E260*C260</f>
        <v>31.2497768485152</v>
      </c>
      <c r="G260" s="7" t="s">
        <v>83</v>
      </c>
      <c r="H260" s="7" t="s">
        <v>848</v>
      </c>
      <c r="I260" s="230">
        <f>取费表!$F$4</f>
        <v>0.05</v>
      </c>
      <c r="J260" s="69"/>
      <c r="K260" s="34">
        <f>L259+L247</f>
        <v>697.009531534847</v>
      </c>
      <c r="L260" s="69">
        <f t="shared" si="9"/>
        <v>34.8504765767424</v>
      </c>
    </row>
    <row r="261" ht="14.45" customHeight="1" spans="1:12">
      <c r="A261" s="7" t="s">
        <v>121</v>
      </c>
      <c r="B261" s="7" t="s">
        <v>861</v>
      </c>
      <c r="C261" s="9"/>
      <c r="D261" s="69"/>
      <c r="E261" s="7"/>
      <c r="F261" s="69">
        <f>F262</f>
        <v>320.795566</v>
      </c>
      <c r="G261" s="7" t="s">
        <v>121</v>
      </c>
      <c r="H261" s="7" t="s">
        <v>861</v>
      </c>
      <c r="I261" s="9"/>
      <c r="J261" s="69"/>
      <c r="K261" s="7"/>
      <c r="L261" s="69">
        <f>L262</f>
        <v>361.181548</v>
      </c>
    </row>
    <row r="262" ht="14.45" customHeight="1" spans="1:12">
      <c r="A262" s="7"/>
      <c r="B262" s="7" t="s">
        <v>862</v>
      </c>
      <c r="C262" s="9" t="s">
        <v>863</v>
      </c>
      <c r="D262" s="69">
        <f>材料预算价!K11-材料预算价!L11</f>
        <v>4.58</v>
      </c>
      <c r="E262" s="7">
        <f>E254*台时!C14+新定额单价!E255*台时!D14+新定额单价!E256*台时!G182</f>
        <v>70.0427</v>
      </c>
      <c r="F262" s="69">
        <f>E262*D262</f>
        <v>320.795566</v>
      </c>
      <c r="G262" s="7"/>
      <c r="H262" s="7" t="s">
        <v>862</v>
      </c>
      <c r="I262" s="9" t="s">
        <v>863</v>
      </c>
      <c r="J262" s="69">
        <f>D262</f>
        <v>4.58</v>
      </c>
      <c r="K262" s="38">
        <f>K254*14.2+K255*8.4+K256*10.2</f>
        <v>78.8606</v>
      </c>
      <c r="L262" s="69">
        <f>K262*J262</f>
        <v>361.181548</v>
      </c>
    </row>
    <row r="263" ht="14.45" customHeight="1" spans="1:12">
      <c r="A263" s="7" t="s">
        <v>135</v>
      </c>
      <c r="B263" s="7" t="s">
        <v>849</v>
      </c>
      <c r="C263" s="231">
        <f>C216</f>
        <v>0.09</v>
      </c>
      <c r="D263" s="7"/>
      <c r="E263" s="34">
        <f>F261+F260+F259+F247</f>
        <v>977.040879818818</v>
      </c>
      <c r="F263" s="69">
        <f>E263*C263</f>
        <v>87.9336791836937</v>
      </c>
      <c r="G263" s="7" t="s">
        <v>135</v>
      </c>
      <c r="H263" s="7" t="s">
        <v>849</v>
      </c>
      <c r="I263" s="231">
        <f>C263</f>
        <v>0.09</v>
      </c>
      <c r="J263" s="7"/>
      <c r="K263" s="34">
        <f>L261+L260+L259+L247</f>
        <v>1093.04155611159</v>
      </c>
      <c r="L263" s="69">
        <f>K263*I263</f>
        <v>98.3737400500431</v>
      </c>
    </row>
    <row r="264" ht="14.45" customHeight="1" spans="1:12">
      <c r="A264" s="7"/>
      <c r="B264" s="7" t="s">
        <v>850</v>
      </c>
      <c r="C264" s="231"/>
      <c r="D264" s="7"/>
      <c r="E264" s="34"/>
      <c r="F264" s="69">
        <f>(F247+F259+F260+F261+F263)*取费表!H4</f>
        <v>31.9492367700754</v>
      </c>
      <c r="G264" s="7"/>
      <c r="H264" s="7" t="s">
        <v>850</v>
      </c>
      <c r="I264" s="231"/>
      <c r="J264" s="7"/>
      <c r="K264" s="34"/>
      <c r="L264" s="69">
        <f>(L247+L259+L260+L261+L263)*取费表!H4</f>
        <v>35.742458884849</v>
      </c>
    </row>
    <row r="265" ht="14.45" customHeight="1" spans="1:12">
      <c r="A265" s="7"/>
      <c r="B265" s="7" t="s">
        <v>156</v>
      </c>
      <c r="C265" s="7"/>
      <c r="D265" s="7"/>
      <c r="E265" s="7"/>
      <c r="F265" s="69">
        <f>F263+F261+F260+F259+F247+F264</f>
        <v>1096.92379577259</v>
      </c>
      <c r="G265" s="7"/>
      <c r="H265" s="7" t="s">
        <v>156</v>
      </c>
      <c r="I265" s="7"/>
      <c r="J265" s="7"/>
      <c r="K265" s="7"/>
      <c r="L265" s="69">
        <f>L263+L261+L260+L259+L247+L264</f>
        <v>1227.15775504648</v>
      </c>
    </row>
    <row r="266" ht="14.45" customHeight="1" spans="1:12">
      <c r="A266" s="7"/>
      <c r="B266" s="7"/>
      <c r="C266" s="7"/>
      <c r="D266" s="7"/>
      <c r="E266" s="7"/>
      <c r="F266" s="69"/>
      <c r="G266" s="7"/>
      <c r="H266" s="7"/>
      <c r="I266" s="7"/>
      <c r="J266" s="7"/>
      <c r="K266" s="7"/>
      <c r="L266" s="69"/>
    </row>
    <row r="267" ht="14.1" customHeight="1" spans="1:12">
      <c r="A267" s="224" t="s">
        <v>828</v>
      </c>
      <c r="B267" s="225"/>
      <c r="C267" s="225"/>
      <c r="D267" s="225"/>
      <c r="E267" s="225"/>
      <c r="F267" s="225"/>
      <c r="G267" s="224" t="s">
        <v>828</v>
      </c>
      <c r="H267" s="225"/>
      <c r="I267" s="225"/>
      <c r="J267" s="225"/>
      <c r="K267" s="225"/>
      <c r="L267" s="225"/>
    </row>
    <row r="268" ht="14.1" customHeight="1" spans="1:12">
      <c r="A268" s="242" t="s">
        <v>894</v>
      </c>
      <c r="B268" s="242"/>
      <c r="C268" s="242"/>
      <c r="D268" s="242"/>
      <c r="E268" s="242"/>
      <c r="F268" s="242"/>
      <c r="G268" s="242" t="s">
        <v>895</v>
      </c>
      <c r="H268" s="242"/>
      <c r="I268" s="242"/>
      <c r="J268" s="242"/>
      <c r="K268" s="242"/>
      <c r="L268" s="242"/>
    </row>
    <row r="269" ht="14.1" customHeight="1" spans="1:12">
      <c r="A269" s="227" t="s">
        <v>896</v>
      </c>
      <c r="B269" s="228"/>
      <c r="C269" s="229"/>
      <c r="D269" s="229"/>
      <c r="E269" s="228" t="s">
        <v>832</v>
      </c>
      <c r="F269" s="228"/>
      <c r="G269" s="227" t="s">
        <v>897</v>
      </c>
      <c r="H269" s="228"/>
      <c r="I269" s="229"/>
      <c r="J269" s="229"/>
      <c r="K269" s="228" t="s">
        <v>832</v>
      </c>
      <c r="L269" s="228"/>
    </row>
    <row r="270" ht="14.1" customHeight="1" spans="1:12">
      <c r="A270" s="232" t="s">
        <v>898</v>
      </c>
      <c r="B270" s="233"/>
      <c r="C270" s="234"/>
      <c r="D270" s="234"/>
      <c r="E270" s="234"/>
      <c r="F270" s="235"/>
      <c r="G270" s="232" t="s">
        <v>898</v>
      </c>
      <c r="H270" s="233"/>
      <c r="I270" s="234"/>
      <c r="J270" s="234"/>
      <c r="K270" s="234"/>
      <c r="L270" s="235"/>
    </row>
    <row r="271" ht="14.1" customHeight="1" spans="1:12">
      <c r="A271" s="7" t="s">
        <v>104</v>
      </c>
      <c r="B271" s="7" t="s">
        <v>835</v>
      </c>
      <c r="C271" s="7" t="s">
        <v>159</v>
      </c>
      <c r="D271" s="7" t="s">
        <v>422</v>
      </c>
      <c r="E271" s="7" t="s">
        <v>160</v>
      </c>
      <c r="F271" s="7" t="s">
        <v>18</v>
      </c>
      <c r="G271" s="7" t="s">
        <v>104</v>
      </c>
      <c r="H271" s="7" t="s">
        <v>835</v>
      </c>
      <c r="I271" s="7" t="s">
        <v>159</v>
      </c>
      <c r="J271" s="7" t="s">
        <v>422</v>
      </c>
      <c r="K271" s="7" t="s">
        <v>160</v>
      </c>
      <c r="L271" s="7" t="s">
        <v>18</v>
      </c>
    </row>
    <row r="272" ht="14.1" customHeight="1" spans="1:12">
      <c r="A272" s="7" t="s">
        <v>836</v>
      </c>
      <c r="B272" s="7" t="s">
        <v>837</v>
      </c>
      <c r="C272" s="7"/>
      <c r="D272" s="7"/>
      <c r="E272" s="7"/>
      <c r="F272" s="34">
        <f>F273+F282+F283</f>
        <v>762.041182296994</v>
      </c>
      <c r="G272" s="7" t="s">
        <v>836</v>
      </c>
      <c r="H272" s="7" t="s">
        <v>837</v>
      </c>
      <c r="I272" s="7"/>
      <c r="J272" s="7"/>
      <c r="K272" s="7"/>
      <c r="L272" s="34">
        <f>L273+L282+L283</f>
        <v>867.000850488231</v>
      </c>
    </row>
    <row r="273" ht="14.1" customHeight="1" spans="1:12">
      <c r="A273" s="7" t="s">
        <v>539</v>
      </c>
      <c r="B273" s="7" t="s">
        <v>838</v>
      </c>
      <c r="C273" s="7"/>
      <c r="D273" s="7"/>
      <c r="E273" s="7"/>
      <c r="F273" s="34">
        <f>F274+F277+F278</f>
        <v>727.138532726139</v>
      </c>
      <c r="G273" s="7" t="s">
        <v>539</v>
      </c>
      <c r="H273" s="7" t="s">
        <v>838</v>
      </c>
      <c r="I273" s="7"/>
      <c r="J273" s="7"/>
      <c r="K273" s="7"/>
      <c r="L273" s="34">
        <f>L274+L277+L278</f>
        <v>827.29088787045</v>
      </c>
    </row>
    <row r="274" ht="14.1" customHeight="1" spans="1:12">
      <c r="A274" s="7">
        <v>1</v>
      </c>
      <c r="B274" s="7" t="s">
        <v>839</v>
      </c>
      <c r="C274" s="7" t="s">
        <v>840</v>
      </c>
      <c r="D274" s="69"/>
      <c r="E274" s="69">
        <f>SUM(E275:E276)</f>
        <v>4.732</v>
      </c>
      <c r="F274" s="69">
        <f>SUM(F275:F276)</f>
        <v>27.30364</v>
      </c>
      <c r="G274" s="7">
        <v>1</v>
      </c>
      <c r="H274" s="7" t="s">
        <v>839</v>
      </c>
      <c r="I274" s="7" t="s">
        <v>840</v>
      </c>
      <c r="J274" s="69"/>
      <c r="K274" s="69">
        <f>SUM(K275:K276)</f>
        <v>4.732</v>
      </c>
      <c r="L274" s="69">
        <f>SUM(L275:L276)</f>
        <v>27.30364</v>
      </c>
    </row>
    <row r="275" s="217" customFormat="1" ht="14.1" customHeight="1" spans="1:12">
      <c r="A275" s="7"/>
      <c r="B275" s="7" t="s">
        <v>841</v>
      </c>
      <c r="C275" s="7" t="s">
        <v>840</v>
      </c>
      <c r="D275" s="69">
        <f t="shared" ref="D275:D281" si="10">D250</f>
        <v>8.1</v>
      </c>
      <c r="E275" s="69">
        <v>0</v>
      </c>
      <c r="F275" s="69">
        <f t="shared" ref="F275:F281" si="11">D275*E275</f>
        <v>0</v>
      </c>
      <c r="G275" s="7"/>
      <c r="H275" s="7" t="s">
        <v>841</v>
      </c>
      <c r="I275" s="7" t="s">
        <v>840</v>
      </c>
      <c r="J275" s="69">
        <f>D275</f>
        <v>8.1</v>
      </c>
      <c r="K275" s="69">
        <v>0</v>
      </c>
      <c r="L275" s="69">
        <f t="shared" ref="L275:L281" si="12">J275*K275</f>
        <v>0</v>
      </c>
    </row>
    <row r="276" s="217" customFormat="1" ht="14.1" customHeight="1" spans="1:12">
      <c r="A276" s="7"/>
      <c r="B276" s="7" t="s">
        <v>842</v>
      </c>
      <c r="C276" s="7" t="s">
        <v>840</v>
      </c>
      <c r="D276" s="69">
        <f t="shared" si="10"/>
        <v>5.77</v>
      </c>
      <c r="E276" s="69">
        <f>5.2*0.91</f>
        <v>4.732</v>
      </c>
      <c r="F276" s="69">
        <f t="shared" si="11"/>
        <v>27.30364</v>
      </c>
      <c r="G276" s="7"/>
      <c r="H276" s="7" t="s">
        <v>842</v>
      </c>
      <c r="I276" s="7" t="s">
        <v>840</v>
      </c>
      <c r="J276" s="69">
        <f>D276</f>
        <v>5.77</v>
      </c>
      <c r="K276" s="69">
        <f>5.2*0.91</f>
        <v>4.732</v>
      </c>
      <c r="L276" s="69">
        <f t="shared" si="12"/>
        <v>27.30364</v>
      </c>
    </row>
    <row r="277" ht="14.1" customHeight="1" spans="1:12">
      <c r="A277" s="7">
        <v>2</v>
      </c>
      <c r="B277" s="7" t="s">
        <v>844</v>
      </c>
      <c r="C277" s="9" t="s">
        <v>845</v>
      </c>
      <c r="D277" s="34">
        <f>F274+F278</f>
        <v>695.493575060869</v>
      </c>
      <c r="E277" s="7">
        <f>5*0.91</f>
        <v>4.55</v>
      </c>
      <c r="F277" s="69">
        <f>D277*E277/100</f>
        <v>31.6449576652696</v>
      </c>
      <c r="G277" s="7">
        <v>2</v>
      </c>
      <c r="H277" s="7" t="s">
        <v>844</v>
      </c>
      <c r="I277" s="9" t="s">
        <v>845</v>
      </c>
      <c r="J277" s="34">
        <f>L274+L278</f>
        <v>791.287315036298</v>
      </c>
      <c r="K277" s="7">
        <f>5*0.91</f>
        <v>4.55</v>
      </c>
      <c r="L277" s="69">
        <f>J277*K277/100</f>
        <v>36.0035728341516</v>
      </c>
    </row>
    <row r="278" ht="14.1" customHeight="1" spans="1:12">
      <c r="A278" s="7">
        <v>3</v>
      </c>
      <c r="B278" s="7" t="s">
        <v>859</v>
      </c>
      <c r="C278" s="7"/>
      <c r="D278" s="7"/>
      <c r="E278" s="7"/>
      <c r="F278" s="250">
        <f>SUM(F279:F281)</f>
        <v>668.18993506087</v>
      </c>
      <c r="G278" s="7">
        <v>3</v>
      </c>
      <c r="H278" s="7" t="s">
        <v>859</v>
      </c>
      <c r="I278" s="7"/>
      <c r="J278" s="7"/>
      <c r="K278" s="7"/>
      <c r="L278" s="250">
        <f>SUM(L279:L281)</f>
        <v>763.983675036298</v>
      </c>
    </row>
    <row r="279" ht="14.1" customHeight="1" spans="1:12">
      <c r="A279" s="7"/>
      <c r="B279" s="7" t="s">
        <v>885</v>
      </c>
      <c r="C279" s="7" t="s">
        <v>428</v>
      </c>
      <c r="D279" s="69">
        <f t="shared" si="10"/>
        <v>118.94887754288</v>
      </c>
      <c r="E279" s="38">
        <f>1.04*0.91</f>
        <v>0.9464</v>
      </c>
      <c r="F279" s="69">
        <f t="shared" si="11"/>
        <v>112.573217706582</v>
      </c>
      <c r="G279" s="7"/>
      <c r="H279" s="7" t="s">
        <v>885</v>
      </c>
      <c r="I279" s="7" t="s">
        <v>428</v>
      </c>
      <c r="J279" s="69">
        <f>D279</f>
        <v>118.94887754288</v>
      </c>
      <c r="K279" s="38">
        <f>1.04*0.91</f>
        <v>0.9464</v>
      </c>
      <c r="L279" s="69">
        <f t="shared" si="12"/>
        <v>112.573217706582</v>
      </c>
    </row>
    <row r="280" ht="14.1" customHeight="1" spans="1:12">
      <c r="A280" s="7"/>
      <c r="B280" s="7" t="s">
        <v>886</v>
      </c>
      <c r="C280" s="7" t="s">
        <v>428</v>
      </c>
      <c r="D280" s="69">
        <f t="shared" si="10"/>
        <v>66.3822584762664</v>
      </c>
      <c r="E280" s="38">
        <f>0.52*0.91</f>
        <v>0.4732</v>
      </c>
      <c r="F280" s="69">
        <f t="shared" si="11"/>
        <v>31.4120847109693</v>
      </c>
      <c r="G280" s="7"/>
      <c r="H280" s="7" t="s">
        <v>886</v>
      </c>
      <c r="I280" s="7" t="s">
        <v>428</v>
      </c>
      <c r="J280" s="69">
        <f>D280</f>
        <v>66.3822584762664</v>
      </c>
      <c r="K280" s="38">
        <f>0.52*0.91</f>
        <v>0.4732</v>
      </c>
      <c r="L280" s="69">
        <f t="shared" si="12"/>
        <v>31.4120847109693</v>
      </c>
    </row>
    <row r="281" ht="14.1" customHeight="1" spans="1:12">
      <c r="A281" s="7"/>
      <c r="B281" s="7" t="s">
        <v>887</v>
      </c>
      <c r="C281" s="7" t="s">
        <v>428</v>
      </c>
      <c r="D281" s="69">
        <f t="shared" si="10"/>
        <v>73.10267092142</v>
      </c>
      <c r="E281" s="38">
        <f>7.88*0.91</f>
        <v>7.1708</v>
      </c>
      <c r="F281" s="69">
        <f t="shared" si="11"/>
        <v>524.204632643319</v>
      </c>
      <c r="G281" s="7"/>
      <c r="H281" s="7" t="s">
        <v>887</v>
      </c>
      <c r="I281" s="7" t="s">
        <v>428</v>
      </c>
      <c r="J281" s="69">
        <f>D281</f>
        <v>73.10267092142</v>
      </c>
      <c r="K281" s="38">
        <f>9.32*0.91</f>
        <v>8.4812</v>
      </c>
      <c r="L281" s="69">
        <f t="shared" si="12"/>
        <v>619.998372618747</v>
      </c>
    </row>
    <row r="282" ht="14.1" customHeight="1" spans="1:12">
      <c r="A282" s="7" t="s">
        <v>564</v>
      </c>
      <c r="B282" s="7" t="s">
        <v>846</v>
      </c>
      <c r="C282" s="230">
        <f>取费表!$C$4</f>
        <v>0.048</v>
      </c>
      <c r="D282" s="34"/>
      <c r="E282" s="34">
        <f>F273</f>
        <v>727.138532726139</v>
      </c>
      <c r="F282" s="69">
        <f>E282*C282</f>
        <v>34.9026495708547</v>
      </c>
      <c r="G282" s="7" t="s">
        <v>564</v>
      </c>
      <c r="H282" s="7" t="s">
        <v>846</v>
      </c>
      <c r="I282" s="230">
        <f>取费表!$C$4</f>
        <v>0.048</v>
      </c>
      <c r="J282" s="34"/>
      <c r="K282" s="34">
        <f>L273</f>
        <v>827.29088787045</v>
      </c>
      <c r="L282" s="69">
        <f t="shared" ref="L282:L285" si="13">K282*I282</f>
        <v>39.7099626177816</v>
      </c>
    </row>
    <row r="283" ht="14.1" customHeight="1" spans="1:12">
      <c r="A283" s="7"/>
      <c r="B283" s="7"/>
      <c r="C283" s="230"/>
      <c r="D283" s="34"/>
      <c r="E283" s="38"/>
      <c r="F283" s="69"/>
      <c r="G283" s="7"/>
      <c r="H283" s="7"/>
      <c r="I283" s="230"/>
      <c r="J283" s="34"/>
      <c r="K283" s="38"/>
      <c r="L283" s="69"/>
    </row>
    <row r="284" ht="14.1" customHeight="1" spans="1:12">
      <c r="A284" s="7" t="s">
        <v>439</v>
      </c>
      <c r="B284" s="7" t="s">
        <v>847</v>
      </c>
      <c r="C284" s="230">
        <f>取费表!$E$4</f>
        <v>0.04</v>
      </c>
      <c r="D284" s="34"/>
      <c r="E284" s="38">
        <f>F272</f>
        <v>762.041182296994</v>
      </c>
      <c r="F284" s="69">
        <f>E284*C284</f>
        <v>30.4816472918797</v>
      </c>
      <c r="G284" s="7" t="s">
        <v>439</v>
      </c>
      <c r="H284" s="7" t="s">
        <v>847</v>
      </c>
      <c r="I284" s="230">
        <f>取费表!$E$4</f>
        <v>0.04</v>
      </c>
      <c r="J284" s="34"/>
      <c r="K284" s="38">
        <f>L272</f>
        <v>867.000850488231</v>
      </c>
      <c r="L284" s="69">
        <f t="shared" si="13"/>
        <v>34.6800340195293</v>
      </c>
    </row>
    <row r="285" ht="14.1" customHeight="1" spans="1:12">
      <c r="A285" s="7" t="s">
        <v>83</v>
      </c>
      <c r="B285" s="7" t="s">
        <v>848</v>
      </c>
      <c r="C285" s="230">
        <f>取费表!$F$4</f>
        <v>0.05</v>
      </c>
      <c r="D285" s="34"/>
      <c r="E285" s="38">
        <f>F284+F272</f>
        <v>792.522829588873</v>
      </c>
      <c r="F285" s="69">
        <f>E285*C285</f>
        <v>39.6261414794437</v>
      </c>
      <c r="G285" s="7" t="s">
        <v>83</v>
      </c>
      <c r="H285" s="7" t="s">
        <v>848</v>
      </c>
      <c r="I285" s="230">
        <f>取费表!$F$4</f>
        <v>0.05</v>
      </c>
      <c r="J285" s="34"/>
      <c r="K285" s="38">
        <f>L284+L272</f>
        <v>901.680884507761</v>
      </c>
      <c r="L285" s="69">
        <f t="shared" si="13"/>
        <v>45.084044225388</v>
      </c>
    </row>
    <row r="286" ht="14.1" customHeight="1" spans="1:12">
      <c r="A286" s="7" t="s">
        <v>121</v>
      </c>
      <c r="B286" s="7" t="s">
        <v>861</v>
      </c>
      <c r="C286" s="9"/>
      <c r="D286" s="34"/>
      <c r="E286" s="38"/>
      <c r="F286" s="69">
        <f>F287</f>
        <v>414.7461136</v>
      </c>
      <c r="G286" s="7" t="s">
        <v>121</v>
      </c>
      <c r="H286" s="7" t="s">
        <v>861</v>
      </c>
      <c r="I286" s="9"/>
      <c r="J286" s="34"/>
      <c r="K286" s="38"/>
      <c r="L286" s="69">
        <f>L287</f>
        <v>475.96276</v>
      </c>
    </row>
    <row r="287" ht="14.1" customHeight="1" spans="1:12">
      <c r="A287" s="7"/>
      <c r="B287" s="7" t="s">
        <v>862</v>
      </c>
      <c r="C287" s="9" t="s">
        <v>863</v>
      </c>
      <c r="D287" s="34">
        <f>材料预算价!K11-材料预算价!L11</f>
        <v>4.58</v>
      </c>
      <c r="E287" s="38">
        <f>E281*台时!G182+新定额单价!E280*台时!D14+新定额单价!E279*台时!C14</f>
        <v>90.55592</v>
      </c>
      <c r="F287" s="69">
        <f>E287*D287</f>
        <v>414.7461136</v>
      </c>
      <c r="G287" s="7"/>
      <c r="H287" s="7" t="s">
        <v>862</v>
      </c>
      <c r="I287" s="9" t="s">
        <v>863</v>
      </c>
      <c r="J287" s="34">
        <f>D287</f>
        <v>4.58</v>
      </c>
      <c r="K287" s="38">
        <f>K279*14.2+K280*8.4+K281*10.2</f>
        <v>103.922</v>
      </c>
      <c r="L287" s="69">
        <f>K287*J287</f>
        <v>475.96276</v>
      </c>
    </row>
    <row r="288" ht="14.1" customHeight="1" spans="1:12">
      <c r="A288" s="7" t="s">
        <v>135</v>
      </c>
      <c r="B288" s="7" t="s">
        <v>849</v>
      </c>
      <c r="C288" s="231">
        <f>C263</f>
        <v>0.09</v>
      </c>
      <c r="D288" s="7"/>
      <c r="E288" s="251">
        <f>F286+F285+F284+F272</f>
        <v>1246.89508466832</v>
      </c>
      <c r="F288" s="69">
        <f>E288*C288</f>
        <v>112.220557620149</v>
      </c>
      <c r="G288" s="7" t="s">
        <v>135</v>
      </c>
      <c r="H288" s="7" t="s">
        <v>849</v>
      </c>
      <c r="I288" s="231">
        <f>C288</f>
        <v>0.09</v>
      </c>
      <c r="J288" s="7"/>
      <c r="K288" s="251">
        <f>L286+L285+L284+L272</f>
        <v>1422.72768873315</v>
      </c>
      <c r="L288" s="69">
        <f>K288*I288</f>
        <v>128.045491985983</v>
      </c>
    </row>
    <row r="289" ht="14.1" customHeight="1" spans="1:12">
      <c r="A289" s="7"/>
      <c r="B289" s="7" t="s">
        <v>850</v>
      </c>
      <c r="C289" s="231"/>
      <c r="D289" s="7"/>
      <c r="E289" s="251"/>
      <c r="F289" s="69">
        <f>(F272+F284+F285+F286+F288)*取费表!H4</f>
        <v>40.773469268654</v>
      </c>
      <c r="G289" s="7"/>
      <c r="H289" s="7" t="s">
        <v>850</v>
      </c>
      <c r="I289" s="231"/>
      <c r="J289" s="7"/>
      <c r="K289" s="251"/>
      <c r="L289" s="69">
        <f>(L272+L284+L285+L286+L288)*取费表!H4</f>
        <v>46.5231954215739</v>
      </c>
    </row>
    <row r="290" ht="14.1" customHeight="1" spans="1:12">
      <c r="A290" s="7"/>
      <c r="B290" s="7" t="s">
        <v>156</v>
      </c>
      <c r="C290" s="7"/>
      <c r="D290" s="7"/>
      <c r="E290" s="252"/>
      <c r="F290" s="69">
        <f>F288+F286+F285+F284+F272+F289</f>
        <v>1399.88911155712</v>
      </c>
      <c r="G290" s="7"/>
      <c r="H290" s="7" t="s">
        <v>156</v>
      </c>
      <c r="I290" s="7"/>
      <c r="J290" s="7"/>
      <c r="K290" s="252"/>
      <c r="L290" s="69">
        <f>L288+L286+L285+L284+L272+L289</f>
        <v>1597.29637614071</v>
      </c>
    </row>
    <row r="291" ht="14.1" customHeight="1" spans="1:18">
      <c r="A291" s="248" t="s">
        <v>881</v>
      </c>
      <c r="B291" s="225"/>
      <c r="C291" s="225"/>
      <c r="D291" s="225"/>
      <c r="E291" s="225"/>
      <c r="F291" s="225"/>
      <c r="G291" s="224" t="s">
        <v>828</v>
      </c>
      <c r="H291" s="225"/>
      <c r="I291" s="225"/>
      <c r="J291" s="225"/>
      <c r="K291" s="225"/>
      <c r="L291" s="225"/>
      <c r="M291" s="224" t="s">
        <v>828</v>
      </c>
      <c r="N291" s="225"/>
      <c r="O291" s="225"/>
      <c r="P291" s="225"/>
      <c r="Q291" s="225"/>
      <c r="R291" s="225"/>
    </row>
    <row r="292" ht="14.1" customHeight="1" spans="1:18">
      <c r="A292" s="249" t="s">
        <v>899</v>
      </c>
      <c r="B292" s="229"/>
      <c r="C292" s="229"/>
      <c r="D292" s="229"/>
      <c r="E292" s="229"/>
      <c r="F292" s="229"/>
      <c r="G292" s="242" t="s">
        <v>900</v>
      </c>
      <c r="H292" s="242"/>
      <c r="I292" s="242"/>
      <c r="J292" s="242"/>
      <c r="K292" s="242"/>
      <c r="L292" s="242"/>
      <c r="M292" s="242" t="s">
        <v>900</v>
      </c>
      <c r="N292" s="242"/>
      <c r="O292" s="242"/>
      <c r="P292" s="242"/>
      <c r="Q292" s="242"/>
      <c r="R292" s="242"/>
    </row>
    <row r="293" ht="14.1" customHeight="1" spans="1:18">
      <c r="A293" s="227" t="s">
        <v>901</v>
      </c>
      <c r="B293" s="228"/>
      <c r="C293" s="229"/>
      <c r="D293" s="229"/>
      <c r="E293" s="228" t="s">
        <v>832</v>
      </c>
      <c r="F293" s="228"/>
      <c r="G293" s="227" t="s">
        <v>902</v>
      </c>
      <c r="H293" s="228"/>
      <c r="I293" s="229"/>
      <c r="J293" s="229"/>
      <c r="K293" s="228" t="s">
        <v>832</v>
      </c>
      <c r="L293" s="228"/>
      <c r="M293" s="227" t="s">
        <v>902</v>
      </c>
      <c r="N293" s="228"/>
      <c r="O293" s="229"/>
      <c r="P293" s="229"/>
      <c r="Q293" s="228" t="s">
        <v>832</v>
      </c>
      <c r="R293" s="228"/>
    </row>
    <row r="294" ht="14.1" customHeight="1" spans="1:18">
      <c r="A294" s="232" t="s">
        <v>884</v>
      </c>
      <c r="B294" s="233"/>
      <c r="C294" s="233"/>
      <c r="D294" s="233"/>
      <c r="E294" s="233"/>
      <c r="F294" s="147"/>
      <c r="G294" s="232" t="s">
        <v>903</v>
      </c>
      <c r="H294" s="233"/>
      <c r="I294" s="234"/>
      <c r="J294" s="234"/>
      <c r="K294" s="234"/>
      <c r="L294" s="235"/>
      <c r="M294" s="232" t="s">
        <v>904</v>
      </c>
      <c r="N294" s="233"/>
      <c r="O294" s="234"/>
      <c r="P294" s="234"/>
      <c r="Q294" s="234"/>
      <c r="R294" s="235"/>
    </row>
    <row r="295" ht="14.1" customHeight="1" spans="1:18">
      <c r="A295" s="7" t="s">
        <v>104</v>
      </c>
      <c r="B295" s="7" t="s">
        <v>835</v>
      </c>
      <c r="C295" s="7" t="s">
        <v>159</v>
      </c>
      <c r="D295" s="7" t="s">
        <v>422</v>
      </c>
      <c r="E295" s="7" t="s">
        <v>160</v>
      </c>
      <c r="F295" s="7" t="s">
        <v>18</v>
      </c>
      <c r="G295" s="7" t="s">
        <v>104</v>
      </c>
      <c r="H295" s="7" t="s">
        <v>835</v>
      </c>
      <c r="I295" s="7" t="s">
        <v>159</v>
      </c>
      <c r="J295" s="7" t="s">
        <v>422</v>
      </c>
      <c r="K295" s="7" t="s">
        <v>160</v>
      </c>
      <c r="L295" s="7" t="s">
        <v>18</v>
      </c>
      <c r="M295" s="7" t="s">
        <v>104</v>
      </c>
      <c r="N295" s="7" t="s">
        <v>835</v>
      </c>
      <c r="O295" s="7" t="s">
        <v>159</v>
      </c>
      <c r="P295" s="7" t="s">
        <v>422</v>
      </c>
      <c r="Q295" s="7" t="s">
        <v>160</v>
      </c>
      <c r="R295" s="7" t="s">
        <v>18</v>
      </c>
    </row>
    <row r="296" ht="14.1" customHeight="1" spans="1:18">
      <c r="A296" s="7" t="s">
        <v>836</v>
      </c>
      <c r="B296" s="7" t="s">
        <v>837</v>
      </c>
      <c r="C296" s="7"/>
      <c r="D296" s="7"/>
      <c r="E296" s="7"/>
      <c r="F296" s="34">
        <f>F297+F306+F307</f>
        <v>996.742662557956</v>
      </c>
      <c r="G296" s="7" t="s">
        <v>836</v>
      </c>
      <c r="H296" s="7" t="s">
        <v>837</v>
      </c>
      <c r="I296" s="7"/>
      <c r="J296" s="7"/>
      <c r="K296" s="7"/>
      <c r="L296" s="34">
        <f>L297+L306+L307</f>
        <v>1763.68402483566</v>
      </c>
      <c r="M296" s="7" t="s">
        <v>836</v>
      </c>
      <c r="N296" s="7" t="s">
        <v>837</v>
      </c>
      <c r="O296" s="7"/>
      <c r="P296" s="7"/>
      <c r="Q296" s="7"/>
      <c r="R296" s="34">
        <f>R297+R306+R307</f>
        <v>1598.07409490359</v>
      </c>
    </row>
    <row r="297" ht="14.1" customHeight="1" spans="1:18">
      <c r="A297" s="7" t="s">
        <v>539</v>
      </c>
      <c r="B297" s="7" t="s">
        <v>838</v>
      </c>
      <c r="C297" s="7"/>
      <c r="D297" s="7"/>
      <c r="E297" s="7"/>
      <c r="F297" s="34">
        <f>F298+F301+F302</f>
        <v>951.090326868279</v>
      </c>
      <c r="G297" s="7" t="s">
        <v>539</v>
      </c>
      <c r="H297" s="7" t="s">
        <v>838</v>
      </c>
      <c r="I297" s="7"/>
      <c r="J297" s="7"/>
      <c r="K297" s="7"/>
      <c r="L297" s="34">
        <f>L298+L301+L302</f>
        <v>1682.90460385082</v>
      </c>
      <c r="M297" s="7" t="s">
        <v>539</v>
      </c>
      <c r="N297" s="7" t="s">
        <v>838</v>
      </c>
      <c r="O297" s="7"/>
      <c r="P297" s="7"/>
      <c r="Q297" s="7"/>
      <c r="R297" s="34">
        <f>R298+R301+R302</f>
        <v>1524.87986154923</v>
      </c>
    </row>
    <row r="298" ht="14.1" customHeight="1" spans="1:18">
      <c r="A298" s="7">
        <v>1</v>
      </c>
      <c r="B298" s="7" t="s">
        <v>839</v>
      </c>
      <c r="C298" s="7" t="s">
        <v>840</v>
      </c>
      <c r="D298" s="69"/>
      <c r="E298" s="69">
        <f>SUM(E299:E300)</f>
        <v>4.732</v>
      </c>
      <c r="F298" s="69">
        <f>SUM(F299:F300)</f>
        <v>27.30364</v>
      </c>
      <c r="G298" s="7">
        <v>1</v>
      </c>
      <c r="H298" s="7" t="s">
        <v>839</v>
      </c>
      <c r="I298" s="7" t="s">
        <v>840</v>
      </c>
      <c r="J298" s="69"/>
      <c r="K298" s="69">
        <f>SUM(K299:K300)</f>
        <v>5.2</v>
      </c>
      <c r="L298" s="69">
        <f>SUM(L299:L300)</f>
        <v>30.004</v>
      </c>
      <c r="M298" s="7">
        <v>1</v>
      </c>
      <c r="N298" s="7" t="s">
        <v>839</v>
      </c>
      <c r="O298" s="7" t="s">
        <v>840</v>
      </c>
      <c r="P298" s="69"/>
      <c r="Q298" s="69">
        <f>SUM(Q299:Q300)</f>
        <v>4.732</v>
      </c>
      <c r="R298" s="69">
        <f>SUM(R299:R300)</f>
        <v>27.30364</v>
      </c>
    </row>
    <row r="299" ht="14.1" customHeight="1" spans="1:18">
      <c r="A299" s="7"/>
      <c r="B299" s="7" t="s">
        <v>841</v>
      </c>
      <c r="C299" s="7" t="s">
        <v>840</v>
      </c>
      <c r="D299" s="69">
        <f t="shared" ref="D299:D305" si="14">D275</f>
        <v>8.1</v>
      </c>
      <c r="E299" s="69">
        <v>0</v>
      </c>
      <c r="F299" s="69">
        <f t="shared" ref="F299:F305" si="15">D299*E299</f>
        <v>0</v>
      </c>
      <c r="G299" s="7"/>
      <c r="H299" s="7" t="s">
        <v>841</v>
      </c>
      <c r="I299" s="7" t="s">
        <v>840</v>
      </c>
      <c r="J299" s="69">
        <f t="shared" ref="J299:J305" si="16">D299</f>
        <v>8.1</v>
      </c>
      <c r="K299" s="69">
        <v>0</v>
      </c>
      <c r="L299" s="69">
        <f t="shared" ref="L299:L305" si="17">J299*K299</f>
        <v>0</v>
      </c>
      <c r="M299" s="7"/>
      <c r="N299" s="7" t="s">
        <v>841</v>
      </c>
      <c r="O299" s="7" t="s">
        <v>840</v>
      </c>
      <c r="P299" s="69">
        <f t="shared" ref="P299:P305" si="18">J299</f>
        <v>8.1</v>
      </c>
      <c r="Q299" s="69">
        <v>0</v>
      </c>
      <c r="R299" s="69">
        <f t="shared" ref="R299:R305" si="19">P299*Q299</f>
        <v>0</v>
      </c>
    </row>
    <row r="300" ht="14.1" customHeight="1" spans="1:18">
      <c r="A300" s="7"/>
      <c r="B300" s="7" t="s">
        <v>842</v>
      </c>
      <c r="C300" s="7" t="s">
        <v>840</v>
      </c>
      <c r="D300" s="69">
        <f t="shared" si="14"/>
        <v>5.77</v>
      </c>
      <c r="E300" s="69">
        <f>5.2*0.91</f>
        <v>4.732</v>
      </c>
      <c r="F300" s="69">
        <f t="shared" si="15"/>
        <v>27.30364</v>
      </c>
      <c r="G300" s="7"/>
      <c r="H300" s="7" t="s">
        <v>842</v>
      </c>
      <c r="I300" s="7" t="s">
        <v>840</v>
      </c>
      <c r="J300" s="69">
        <f t="shared" si="16"/>
        <v>5.77</v>
      </c>
      <c r="K300" s="69">
        <f>5.2</f>
        <v>5.2</v>
      </c>
      <c r="L300" s="69">
        <f t="shared" si="17"/>
        <v>30.004</v>
      </c>
      <c r="M300" s="7"/>
      <c r="N300" s="7" t="s">
        <v>842</v>
      </c>
      <c r="O300" s="7" t="s">
        <v>840</v>
      </c>
      <c r="P300" s="69">
        <f t="shared" si="18"/>
        <v>5.77</v>
      </c>
      <c r="Q300" s="69">
        <f>5.2*0.91</f>
        <v>4.732</v>
      </c>
      <c r="R300" s="69">
        <f t="shared" si="19"/>
        <v>27.30364</v>
      </c>
    </row>
    <row r="301" ht="14.1" customHeight="1" spans="1:18">
      <c r="A301" s="7">
        <v>2</v>
      </c>
      <c r="B301" s="7" t="s">
        <v>844</v>
      </c>
      <c r="C301" s="9" t="s">
        <v>845</v>
      </c>
      <c r="D301" s="34">
        <f>F298+F302</f>
        <v>909.699021394815</v>
      </c>
      <c r="E301" s="7">
        <f>5*0.91</f>
        <v>4.55</v>
      </c>
      <c r="F301" s="69">
        <f>D301*E301/100</f>
        <v>41.3913054734641</v>
      </c>
      <c r="G301" s="7">
        <v>2</v>
      </c>
      <c r="H301" s="7" t="s">
        <v>844</v>
      </c>
      <c r="I301" s="9" t="s">
        <v>845</v>
      </c>
      <c r="J301" s="34">
        <f>L298+L302</f>
        <v>1602.76628938173</v>
      </c>
      <c r="K301" s="7">
        <f>5</f>
        <v>5</v>
      </c>
      <c r="L301" s="69">
        <f>J301*K301/100</f>
        <v>80.1383144690865</v>
      </c>
      <c r="M301" s="7">
        <v>2</v>
      </c>
      <c r="N301" s="7" t="s">
        <v>844</v>
      </c>
      <c r="O301" s="9" t="s">
        <v>845</v>
      </c>
      <c r="P301" s="34">
        <f>R298+R302</f>
        <v>1458.51732333738</v>
      </c>
      <c r="Q301" s="7">
        <f>5*0.91</f>
        <v>4.55</v>
      </c>
      <c r="R301" s="69">
        <f>P301*Q301/100</f>
        <v>66.3625382118506</v>
      </c>
    </row>
    <row r="302" ht="14.1" customHeight="1" spans="1:18">
      <c r="A302" s="7">
        <v>3</v>
      </c>
      <c r="B302" s="7" t="s">
        <v>859</v>
      </c>
      <c r="C302" s="7"/>
      <c r="D302" s="7"/>
      <c r="E302" s="7"/>
      <c r="F302" s="69">
        <f>SUM(F303:F305)</f>
        <v>882.395381394815</v>
      </c>
      <c r="G302" s="7">
        <v>3</v>
      </c>
      <c r="H302" s="7" t="s">
        <v>859</v>
      </c>
      <c r="I302" s="7"/>
      <c r="J302" s="7"/>
      <c r="K302" s="7"/>
      <c r="L302" s="250">
        <f>SUM(L303:L305)</f>
        <v>1572.76228938173</v>
      </c>
      <c r="M302" s="7">
        <v>3</v>
      </c>
      <c r="N302" s="7" t="s">
        <v>859</v>
      </c>
      <c r="O302" s="7"/>
      <c r="P302" s="7"/>
      <c r="Q302" s="7"/>
      <c r="R302" s="250">
        <f>SUM(R303:R305)</f>
        <v>1431.21368333738</v>
      </c>
    </row>
    <row r="303" ht="14.1" customHeight="1" spans="1:18">
      <c r="A303" s="7"/>
      <c r="B303" s="7" t="s">
        <v>885</v>
      </c>
      <c r="C303" s="7" t="s">
        <v>428</v>
      </c>
      <c r="D303" s="69">
        <f t="shared" si="14"/>
        <v>118.94887754288</v>
      </c>
      <c r="E303" s="38">
        <f>1.04*0.91</f>
        <v>0.9464</v>
      </c>
      <c r="F303" s="69">
        <f t="shared" si="15"/>
        <v>112.573217706582</v>
      </c>
      <c r="G303" s="7"/>
      <c r="H303" s="7" t="s">
        <v>885</v>
      </c>
      <c r="I303" s="7" t="s">
        <v>428</v>
      </c>
      <c r="J303" s="69">
        <f t="shared" si="16"/>
        <v>118.94887754288</v>
      </c>
      <c r="K303" s="38">
        <f>1.04</f>
        <v>1.04</v>
      </c>
      <c r="L303" s="69">
        <f t="shared" si="17"/>
        <v>123.706832644595</v>
      </c>
      <c r="M303" s="7"/>
      <c r="N303" s="7" t="s">
        <v>885</v>
      </c>
      <c r="O303" s="7" t="s">
        <v>428</v>
      </c>
      <c r="P303" s="69">
        <f t="shared" si="18"/>
        <v>118.94887754288</v>
      </c>
      <c r="Q303" s="38">
        <f>1.04*0.91</f>
        <v>0.9464</v>
      </c>
      <c r="R303" s="69">
        <f t="shared" si="19"/>
        <v>112.573217706582</v>
      </c>
    </row>
    <row r="304" ht="14.1" customHeight="1" spans="1:18">
      <c r="A304" s="7"/>
      <c r="B304" s="7" t="s">
        <v>886</v>
      </c>
      <c r="C304" s="7" t="s">
        <v>428</v>
      </c>
      <c r="D304" s="69">
        <f t="shared" si="14"/>
        <v>66.3822584762664</v>
      </c>
      <c r="E304" s="38">
        <f>0.52*0.91</f>
        <v>0.4732</v>
      </c>
      <c r="F304" s="69">
        <f t="shared" si="15"/>
        <v>31.4120847109693</v>
      </c>
      <c r="G304" s="7"/>
      <c r="H304" s="7" t="s">
        <v>886</v>
      </c>
      <c r="I304" s="7" t="s">
        <v>428</v>
      </c>
      <c r="J304" s="69">
        <f t="shared" si="16"/>
        <v>66.3822584762664</v>
      </c>
      <c r="K304" s="38">
        <f>0.52</f>
        <v>0.52</v>
      </c>
      <c r="L304" s="69">
        <f t="shared" si="17"/>
        <v>34.5187744076586</v>
      </c>
      <c r="M304" s="7"/>
      <c r="N304" s="7" t="s">
        <v>886</v>
      </c>
      <c r="O304" s="7" t="s">
        <v>428</v>
      </c>
      <c r="P304" s="69">
        <f t="shared" si="18"/>
        <v>66.3822584762664</v>
      </c>
      <c r="Q304" s="38">
        <f>0.52*0.91</f>
        <v>0.4732</v>
      </c>
      <c r="R304" s="69">
        <f t="shared" si="19"/>
        <v>31.4120847109693</v>
      </c>
    </row>
    <row r="305" ht="14.1" customHeight="1" spans="1:18">
      <c r="A305" s="7"/>
      <c r="B305" s="7" t="s">
        <v>887</v>
      </c>
      <c r="C305" s="7" t="s">
        <v>428</v>
      </c>
      <c r="D305" s="69">
        <f t="shared" si="14"/>
        <v>73.10267092142</v>
      </c>
      <c r="E305" s="38">
        <f>11.1*0.91</f>
        <v>10.101</v>
      </c>
      <c r="F305" s="69">
        <f t="shared" si="15"/>
        <v>738.410078977264</v>
      </c>
      <c r="G305" s="7"/>
      <c r="H305" s="7" t="s">
        <v>887</v>
      </c>
      <c r="I305" s="7" t="s">
        <v>428</v>
      </c>
      <c r="J305" s="69">
        <f t="shared" si="16"/>
        <v>73.10267092142</v>
      </c>
      <c r="K305" s="38">
        <f>12.3+1.41*5</f>
        <v>19.35</v>
      </c>
      <c r="L305" s="69">
        <f t="shared" si="17"/>
        <v>1414.53668232948</v>
      </c>
      <c r="M305" s="7"/>
      <c r="N305" s="7" t="s">
        <v>887</v>
      </c>
      <c r="O305" s="7" t="s">
        <v>428</v>
      </c>
      <c r="P305" s="69">
        <f t="shared" si="18"/>
        <v>73.10267092142</v>
      </c>
      <c r="Q305" s="38">
        <f>12.3*0.91+1.41*5*0.91</f>
        <v>17.6085</v>
      </c>
      <c r="R305" s="69">
        <f t="shared" si="19"/>
        <v>1287.22838091982</v>
      </c>
    </row>
    <row r="306" ht="14.1" customHeight="1" spans="1:18">
      <c r="A306" s="7" t="s">
        <v>564</v>
      </c>
      <c r="B306" s="7" t="s">
        <v>846</v>
      </c>
      <c r="C306" s="230">
        <f>取费表!$C$4</f>
        <v>0.048</v>
      </c>
      <c r="D306" s="69"/>
      <c r="E306" s="34">
        <f>F297</f>
        <v>951.090326868279</v>
      </c>
      <c r="F306" s="69">
        <f>E306*C306</f>
        <v>45.6523356896774</v>
      </c>
      <c r="G306" s="7" t="s">
        <v>564</v>
      </c>
      <c r="H306" s="7" t="s">
        <v>846</v>
      </c>
      <c r="I306" s="230">
        <f>取费表!$C$4</f>
        <v>0.048</v>
      </c>
      <c r="J306" s="34"/>
      <c r="K306" s="38">
        <f>L297</f>
        <v>1682.90460385082</v>
      </c>
      <c r="L306" s="69">
        <f t="shared" ref="L306:L309" si="20">K306*I306</f>
        <v>80.7794209848392</v>
      </c>
      <c r="M306" s="7" t="s">
        <v>564</v>
      </c>
      <c r="N306" s="7" t="s">
        <v>846</v>
      </c>
      <c r="O306" s="230">
        <f>取费表!$C$4</f>
        <v>0.048</v>
      </c>
      <c r="P306" s="34"/>
      <c r="Q306" s="38">
        <f>R297</f>
        <v>1524.87986154923</v>
      </c>
      <c r="R306" s="69">
        <f t="shared" ref="R306:R309" si="21">Q306*O306</f>
        <v>73.1942333543628</v>
      </c>
    </row>
    <row r="307" ht="14.1" customHeight="1" spans="1:18">
      <c r="A307" s="7"/>
      <c r="B307" s="7"/>
      <c r="C307" s="230"/>
      <c r="D307" s="69"/>
      <c r="E307" s="34"/>
      <c r="F307" s="69"/>
      <c r="G307" s="7"/>
      <c r="H307" s="7"/>
      <c r="I307" s="230"/>
      <c r="J307" s="34"/>
      <c r="K307" s="38"/>
      <c r="L307" s="69"/>
      <c r="M307" s="7"/>
      <c r="N307" s="7"/>
      <c r="O307" s="230"/>
      <c r="P307" s="34"/>
      <c r="Q307" s="38"/>
      <c r="R307" s="69"/>
    </row>
    <row r="308" ht="14.1" customHeight="1" spans="1:18">
      <c r="A308" s="7" t="s">
        <v>439</v>
      </c>
      <c r="B308" s="7" t="s">
        <v>847</v>
      </c>
      <c r="C308" s="230">
        <f>取费表!$E$4</f>
        <v>0.04</v>
      </c>
      <c r="D308" s="69"/>
      <c r="E308" s="34">
        <f>F296</f>
        <v>996.742662557956</v>
      </c>
      <c r="F308" s="69">
        <f>E308*C308</f>
        <v>39.8697065023182</v>
      </c>
      <c r="G308" s="7" t="s">
        <v>439</v>
      </c>
      <c r="H308" s="7" t="s">
        <v>847</v>
      </c>
      <c r="I308" s="230">
        <f>取费表!$E$4</f>
        <v>0.04</v>
      </c>
      <c r="J308" s="34"/>
      <c r="K308" s="38">
        <f>L296</f>
        <v>1763.68402483566</v>
      </c>
      <c r="L308" s="69">
        <f t="shared" si="20"/>
        <v>70.5473609934263</v>
      </c>
      <c r="M308" s="7" t="s">
        <v>439</v>
      </c>
      <c r="N308" s="7" t="s">
        <v>847</v>
      </c>
      <c r="O308" s="230">
        <f>取费表!$E$4</f>
        <v>0.04</v>
      </c>
      <c r="P308" s="34"/>
      <c r="Q308" s="38">
        <f>R296</f>
        <v>1598.07409490359</v>
      </c>
      <c r="R308" s="69">
        <f t="shared" si="21"/>
        <v>63.9229637961435</v>
      </c>
    </row>
    <row r="309" ht="14.1" customHeight="1" spans="1:18">
      <c r="A309" s="7" t="s">
        <v>83</v>
      </c>
      <c r="B309" s="7" t="s">
        <v>848</v>
      </c>
      <c r="C309" s="230">
        <f>取费表!$F$4</f>
        <v>0.05</v>
      </c>
      <c r="D309" s="69"/>
      <c r="E309" s="34">
        <f>F308+F296</f>
        <v>1036.61236906027</v>
      </c>
      <c r="F309" s="69">
        <f>E309*C309</f>
        <v>51.8306184530137</v>
      </c>
      <c r="G309" s="7" t="s">
        <v>83</v>
      </c>
      <c r="H309" s="7" t="s">
        <v>848</v>
      </c>
      <c r="I309" s="230">
        <f>取费表!$F$4</f>
        <v>0.05</v>
      </c>
      <c r="J309" s="34"/>
      <c r="K309" s="38">
        <f>L308+L296</f>
        <v>1834.23138582908</v>
      </c>
      <c r="L309" s="69">
        <f t="shared" si="20"/>
        <v>91.7115692914542</v>
      </c>
      <c r="M309" s="7" t="s">
        <v>83</v>
      </c>
      <c r="N309" s="7" t="s">
        <v>848</v>
      </c>
      <c r="O309" s="230">
        <f>取费表!$F$4</f>
        <v>0.05</v>
      </c>
      <c r="P309" s="34"/>
      <c r="Q309" s="38">
        <f>R308+R296</f>
        <v>1661.99705869973</v>
      </c>
      <c r="R309" s="69">
        <f t="shared" si="21"/>
        <v>83.0998529349866</v>
      </c>
    </row>
    <row r="310" ht="14.1" customHeight="1" spans="1:18">
      <c r="A310" s="7" t="s">
        <v>121</v>
      </c>
      <c r="B310" s="7" t="s">
        <v>861</v>
      </c>
      <c r="C310" s="9"/>
      <c r="D310" s="69"/>
      <c r="E310" s="7"/>
      <c r="F310" s="69">
        <f>F311</f>
        <v>551.6333368</v>
      </c>
      <c r="G310" s="7" t="s">
        <v>121</v>
      </c>
      <c r="H310" s="7" t="s">
        <v>861</v>
      </c>
      <c r="I310" s="9"/>
      <c r="J310" s="34"/>
      <c r="K310" s="38"/>
      <c r="L310" s="69">
        <f>L311</f>
        <v>991.59748</v>
      </c>
      <c r="M310" s="7" t="s">
        <v>121</v>
      </c>
      <c r="N310" s="7" t="s">
        <v>861</v>
      </c>
      <c r="O310" s="9"/>
      <c r="P310" s="34"/>
      <c r="Q310" s="38"/>
      <c r="R310" s="69">
        <f>R311</f>
        <v>902.3537068</v>
      </c>
    </row>
    <row r="311" ht="14.1" customHeight="1" spans="1:18">
      <c r="A311" s="7"/>
      <c r="B311" s="7" t="s">
        <v>862</v>
      </c>
      <c r="C311" s="9" t="s">
        <v>863</v>
      </c>
      <c r="D311" s="69">
        <f>D287</f>
        <v>4.58</v>
      </c>
      <c r="E311" s="38">
        <f>E303*台时!C14+新定额单价!E304*台时!D14+新定额单价!E305*台时!G182</f>
        <v>120.44396</v>
      </c>
      <c r="F311" s="69">
        <f>E311*D311</f>
        <v>551.6333368</v>
      </c>
      <c r="G311" s="7"/>
      <c r="H311" s="7" t="s">
        <v>862</v>
      </c>
      <c r="I311" s="9" t="s">
        <v>863</v>
      </c>
      <c r="J311" s="34">
        <f>D311</f>
        <v>4.58</v>
      </c>
      <c r="K311" s="38">
        <f>K303*14.2+K304*8.4+K305*10.2</f>
        <v>216.506</v>
      </c>
      <c r="L311" s="69">
        <f>K311*J311</f>
        <v>991.59748</v>
      </c>
      <c r="M311" s="7"/>
      <c r="N311" s="7" t="s">
        <v>862</v>
      </c>
      <c r="O311" s="9" t="s">
        <v>863</v>
      </c>
      <c r="P311" s="34">
        <f>J311</f>
        <v>4.58</v>
      </c>
      <c r="Q311" s="38">
        <f>Q303*14.2+Q304*8.4+Q305*10.2</f>
        <v>197.02046</v>
      </c>
      <c r="R311" s="69">
        <f>Q311*P311</f>
        <v>902.3537068</v>
      </c>
    </row>
    <row r="312" ht="14.1" customHeight="1" spans="1:18">
      <c r="A312" s="7" t="s">
        <v>135</v>
      </c>
      <c r="B312" s="7" t="s">
        <v>849</v>
      </c>
      <c r="C312" s="231">
        <f>C288</f>
        <v>0.09</v>
      </c>
      <c r="D312" s="7"/>
      <c r="E312" s="34">
        <f>F310+F309+F308+F296</f>
        <v>1640.07632431329</v>
      </c>
      <c r="F312" s="69">
        <f>E312*C312</f>
        <v>147.606869188196</v>
      </c>
      <c r="G312" s="7" t="s">
        <v>135</v>
      </c>
      <c r="H312" s="7" t="s">
        <v>849</v>
      </c>
      <c r="I312" s="231">
        <f>C312</f>
        <v>0.09</v>
      </c>
      <c r="J312" s="7"/>
      <c r="K312" s="251">
        <f>L310+L309+L308+L296</f>
        <v>2917.54043512054</v>
      </c>
      <c r="L312" s="69">
        <f>K312*I312</f>
        <v>262.578639160849</v>
      </c>
      <c r="M312" s="7" t="s">
        <v>135</v>
      </c>
      <c r="N312" s="7" t="s">
        <v>849</v>
      </c>
      <c r="O312" s="231">
        <f>I312</f>
        <v>0.09</v>
      </c>
      <c r="P312" s="7"/>
      <c r="Q312" s="251">
        <f>R310+R309+R308+R296</f>
        <v>2647.45061843472</v>
      </c>
      <c r="R312" s="69">
        <f>Q312*O312</f>
        <v>238.270555659125</v>
      </c>
    </row>
    <row r="313" ht="14.1" customHeight="1" spans="1:18">
      <c r="A313" s="7"/>
      <c r="B313" s="7" t="s">
        <v>850</v>
      </c>
      <c r="C313" s="231"/>
      <c r="D313" s="7"/>
      <c r="E313" s="34"/>
      <c r="F313" s="69">
        <f>(F296+F308+F309+F310+F312)*取费表!H4</f>
        <v>53.6304958050445</v>
      </c>
      <c r="G313" s="7"/>
      <c r="H313" s="7" t="s">
        <v>850</v>
      </c>
      <c r="I313" s="231"/>
      <c r="J313" s="7"/>
      <c r="K313" s="251"/>
      <c r="L313" s="69">
        <f>(L296+L308+L309+L310+L312)*取费表!H4</f>
        <v>95.4035722284417</v>
      </c>
      <c r="M313" s="7"/>
      <c r="N313" s="7" t="s">
        <v>850</v>
      </c>
      <c r="O313" s="231"/>
      <c r="P313" s="7"/>
      <c r="Q313" s="251"/>
      <c r="R313" s="69">
        <f>(R296+R308+R309+R310+R312)*取费表!H4</f>
        <v>86.5716352228153</v>
      </c>
    </row>
    <row r="314" ht="14.1" customHeight="1" spans="1:18">
      <c r="A314" s="7"/>
      <c r="B314" s="7" t="s">
        <v>156</v>
      </c>
      <c r="C314" s="7"/>
      <c r="D314" s="7"/>
      <c r="E314" s="7"/>
      <c r="F314" s="69">
        <f>F312+F310+F309+F308+F296+F313</f>
        <v>1841.31368930653</v>
      </c>
      <c r="G314" s="7"/>
      <c r="H314" s="7" t="s">
        <v>156</v>
      </c>
      <c r="I314" s="7"/>
      <c r="J314" s="7"/>
      <c r="K314" s="252"/>
      <c r="L314" s="69">
        <f>L312+L310+L309+L308+L296+L313</f>
        <v>3275.52264650983</v>
      </c>
      <c r="M314" s="7"/>
      <c r="N314" s="7" t="s">
        <v>156</v>
      </c>
      <c r="O314" s="7"/>
      <c r="P314" s="7"/>
      <c r="Q314" s="252"/>
      <c r="R314" s="69">
        <f>R312+R310+R309+R308+R296+R313</f>
        <v>2972.29280931666</v>
      </c>
    </row>
    <row r="315" ht="14.1" customHeight="1" spans="1:6">
      <c r="A315" s="96"/>
      <c r="B315" s="96"/>
      <c r="C315" s="96"/>
      <c r="D315" s="96"/>
      <c r="E315" s="96"/>
      <c r="F315" s="243"/>
    </row>
    <row r="316" ht="13.5" customHeight="1" spans="1:12">
      <c r="A316" s="224" t="s">
        <v>828</v>
      </c>
      <c r="B316" s="225"/>
      <c r="C316" s="225"/>
      <c r="D316" s="225"/>
      <c r="E316" s="225"/>
      <c r="F316" s="225"/>
      <c r="G316" s="224" t="s">
        <v>828</v>
      </c>
      <c r="H316" s="225"/>
      <c r="I316" s="225"/>
      <c r="J316" s="225"/>
      <c r="K316" s="225"/>
      <c r="L316" s="225"/>
    </row>
    <row r="317" ht="13.5" customHeight="1" spans="1:12">
      <c r="A317" s="242" t="s">
        <v>900</v>
      </c>
      <c r="B317" s="242"/>
      <c r="C317" s="242"/>
      <c r="D317" s="242"/>
      <c r="E317" s="242"/>
      <c r="F317" s="242"/>
      <c r="G317" s="242" t="s">
        <v>900</v>
      </c>
      <c r="H317" s="242"/>
      <c r="I317" s="242"/>
      <c r="J317" s="242"/>
      <c r="K317" s="242"/>
      <c r="L317" s="242"/>
    </row>
    <row r="318" ht="13.5" customHeight="1" spans="1:12">
      <c r="A318" s="227" t="s">
        <v>902</v>
      </c>
      <c r="B318" s="228"/>
      <c r="C318" s="229"/>
      <c r="D318" s="229"/>
      <c r="E318" s="228" t="s">
        <v>832</v>
      </c>
      <c r="F318" s="228"/>
      <c r="G318" s="227" t="s">
        <v>902</v>
      </c>
      <c r="H318" s="228"/>
      <c r="I318" s="229"/>
      <c r="J318" s="229"/>
      <c r="K318" s="228" t="s">
        <v>832</v>
      </c>
      <c r="L318" s="228"/>
    </row>
    <row r="319" ht="13.5" customHeight="1" spans="1:12">
      <c r="A319" s="232" t="s">
        <v>905</v>
      </c>
      <c r="B319" s="233"/>
      <c r="C319" s="234"/>
      <c r="D319" s="234"/>
      <c r="E319" s="234"/>
      <c r="F319" s="235"/>
      <c r="G319" s="232" t="s">
        <v>906</v>
      </c>
      <c r="H319" s="233"/>
      <c r="I319" s="234"/>
      <c r="J319" s="234"/>
      <c r="K319" s="234"/>
      <c r="L319" s="235"/>
    </row>
    <row r="320" ht="13.5" customHeight="1" spans="1:12">
      <c r="A320" s="7" t="s">
        <v>104</v>
      </c>
      <c r="B320" s="7" t="s">
        <v>835</v>
      </c>
      <c r="C320" s="7" t="s">
        <v>159</v>
      </c>
      <c r="D320" s="7" t="s">
        <v>422</v>
      </c>
      <c r="E320" s="7" t="s">
        <v>160</v>
      </c>
      <c r="F320" s="7" t="s">
        <v>18</v>
      </c>
      <c r="G320" s="7" t="s">
        <v>104</v>
      </c>
      <c r="H320" s="7" t="s">
        <v>835</v>
      </c>
      <c r="I320" s="7" t="s">
        <v>159</v>
      </c>
      <c r="J320" s="7" t="s">
        <v>422</v>
      </c>
      <c r="K320" s="7" t="s">
        <v>160</v>
      </c>
      <c r="L320" s="7" t="s">
        <v>18</v>
      </c>
    </row>
    <row r="321" ht="13.5" customHeight="1" spans="1:12">
      <c r="A321" s="7" t="s">
        <v>836</v>
      </c>
      <c r="B321" s="7" t="s">
        <v>837</v>
      </c>
      <c r="C321" s="7"/>
      <c r="D321" s="7"/>
      <c r="E321" s="7"/>
      <c r="F321" s="34">
        <f>F322+F331+F332</f>
        <v>1084.20905271732</v>
      </c>
      <c r="G321" s="7" t="s">
        <v>836</v>
      </c>
      <c r="H321" s="7" t="s">
        <v>837</v>
      </c>
      <c r="I321" s="7"/>
      <c r="J321" s="7"/>
      <c r="K321" s="7"/>
      <c r="L321" s="34">
        <f>L322+L331+L332</f>
        <v>1196.56666230805</v>
      </c>
    </row>
    <row r="322" ht="13.5" customHeight="1" spans="1:12">
      <c r="A322" s="7" t="s">
        <v>539</v>
      </c>
      <c r="B322" s="7" t="s">
        <v>838</v>
      </c>
      <c r="C322" s="7"/>
      <c r="D322" s="7"/>
      <c r="E322" s="7"/>
      <c r="F322" s="34">
        <f>F323+F326+F327</f>
        <v>1034.55062282187</v>
      </c>
      <c r="G322" s="7" t="s">
        <v>539</v>
      </c>
      <c r="H322" s="7" t="s">
        <v>838</v>
      </c>
      <c r="I322" s="7"/>
      <c r="J322" s="7"/>
      <c r="K322" s="7"/>
      <c r="L322" s="34">
        <f>L323+L326+L327</f>
        <v>1141.76208235501</v>
      </c>
    </row>
    <row r="323" ht="13.5" customHeight="1" spans="1:12">
      <c r="A323" s="7">
        <v>1</v>
      </c>
      <c r="B323" s="7" t="s">
        <v>839</v>
      </c>
      <c r="C323" s="7" t="s">
        <v>840</v>
      </c>
      <c r="D323" s="69"/>
      <c r="E323" s="69">
        <f>SUM(E324:E325)</f>
        <v>4.732</v>
      </c>
      <c r="F323" s="69">
        <f>SUM(F324:F325)</f>
        <v>27.30364</v>
      </c>
      <c r="G323" s="7">
        <v>1</v>
      </c>
      <c r="H323" s="7" t="s">
        <v>839</v>
      </c>
      <c r="I323" s="7" t="s">
        <v>840</v>
      </c>
      <c r="J323" s="69"/>
      <c r="K323" s="69">
        <f>SUM(K324:K325)</f>
        <v>5.2</v>
      </c>
      <c r="L323" s="69">
        <f>SUM(L324:L325)</f>
        <v>30.004</v>
      </c>
    </row>
    <row r="324" ht="13.5" customHeight="1" spans="1:12">
      <c r="A324" s="7"/>
      <c r="B324" s="7" t="s">
        <v>841</v>
      </c>
      <c r="C324" s="7" t="s">
        <v>840</v>
      </c>
      <c r="D324" s="69">
        <f>D299</f>
        <v>8.1</v>
      </c>
      <c r="E324" s="69">
        <v>0</v>
      </c>
      <c r="F324" s="69">
        <f t="shared" ref="F324:F330" si="22">D324*E324</f>
        <v>0</v>
      </c>
      <c r="G324" s="7"/>
      <c r="H324" s="7" t="s">
        <v>841</v>
      </c>
      <c r="I324" s="7" t="s">
        <v>840</v>
      </c>
      <c r="J324" s="69">
        <f>D324</f>
        <v>8.1</v>
      </c>
      <c r="K324" s="69">
        <v>0</v>
      </c>
      <c r="L324" s="69">
        <f t="shared" ref="L324:L330" si="23">J324*K324</f>
        <v>0</v>
      </c>
    </row>
    <row r="325" ht="13.5" customHeight="1" spans="1:12">
      <c r="A325" s="7"/>
      <c r="B325" s="7" t="s">
        <v>842</v>
      </c>
      <c r="C325" s="7" t="s">
        <v>840</v>
      </c>
      <c r="D325" s="69">
        <f>D300</f>
        <v>5.77</v>
      </c>
      <c r="E325" s="69">
        <f>5.2*0.91</f>
        <v>4.732</v>
      </c>
      <c r="F325" s="69">
        <f t="shared" si="22"/>
        <v>27.30364</v>
      </c>
      <c r="G325" s="7"/>
      <c r="H325" s="7" t="s">
        <v>842</v>
      </c>
      <c r="I325" s="7" t="s">
        <v>840</v>
      </c>
      <c r="J325" s="69">
        <f>D325</f>
        <v>5.77</v>
      </c>
      <c r="K325" s="69">
        <f>5.2</f>
        <v>5.2</v>
      </c>
      <c r="L325" s="69">
        <f t="shared" si="23"/>
        <v>30.004</v>
      </c>
    </row>
    <row r="326" ht="13.5" customHeight="1" spans="1:12">
      <c r="A326" s="7">
        <v>2</v>
      </c>
      <c r="B326" s="7" t="s">
        <v>844</v>
      </c>
      <c r="C326" s="9" t="s">
        <v>845</v>
      </c>
      <c r="D326" s="34">
        <f>F323+F327</f>
        <v>989.527138041005</v>
      </c>
      <c r="E326" s="7">
        <f>5*0.91</f>
        <v>4.55</v>
      </c>
      <c r="F326" s="69">
        <f>D326*E326/100</f>
        <v>45.0234847808657</v>
      </c>
      <c r="G326" s="7">
        <v>2</v>
      </c>
      <c r="H326" s="7" t="s">
        <v>844</v>
      </c>
      <c r="I326" s="9" t="s">
        <v>845</v>
      </c>
      <c r="J326" s="34">
        <f>L323+L327</f>
        <v>1087.39245938572</v>
      </c>
      <c r="K326" s="7">
        <f>5</f>
        <v>5</v>
      </c>
      <c r="L326" s="69">
        <f>J326*K326/100</f>
        <v>54.369622969286</v>
      </c>
    </row>
    <row r="327" ht="13.5" customHeight="1" spans="1:12">
      <c r="A327" s="7">
        <v>3</v>
      </c>
      <c r="B327" s="7" t="s">
        <v>859</v>
      </c>
      <c r="C327" s="7"/>
      <c r="D327" s="7"/>
      <c r="E327" s="7"/>
      <c r="F327" s="250">
        <f>SUM(F328:F330)</f>
        <v>962.223498041005</v>
      </c>
      <c r="G327" s="7">
        <v>3</v>
      </c>
      <c r="H327" s="7" t="s">
        <v>859</v>
      </c>
      <c r="I327" s="7"/>
      <c r="J327" s="7"/>
      <c r="K327" s="7"/>
      <c r="L327" s="250">
        <f>SUM(L328:L330)</f>
        <v>1057.38845938572</v>
      </c>
    </row>
    <row r="328" ht="13.5" customHeight="1" spans="1:12">
      <c r="A328" s="7"/>
      <c r="B328" s="7" t="s">
        <v>885</v>
      </c>
      <c r="C328" s="7" t="s">
        <v>428</v>
      </c>
      <c r="D328" s="69">
        <f>D303</f>
        <v>118.94887754288</v>
      </c>
      <c r="E328" s="38">
        <f>1.04*0.91</f>
        <v>0.9464</v>
      </c>
      <c r="F328" s="69">
        <f t="shared" si="22"/>
        <v>112.573217706582</v>
      </c>
      <c r="G328" s="7"/>
      <c r="H328" s="7" t="s">
        <v>885</v>
      </c>
      <c r="I328" s="7" t="s">
        <v>428</v>
      </c>
      <c r="J328" s="69">
        <f>D328</f>
        <v>118.94887754288</v>
      </c>
      <c r="K328" s="38">
        <f>1.04</f>
        <v>1.04</v>
      </c>
      <c r="L328" s="69">
        <f t="shared" si="23"/>
        <v>123.706832644595</v>
      </c>
    </row>
    <row r="329" ht="13.5" customHeight="1" spans="1:12">
      <c r="A329" s="7"/>
      <c r="B329" s="7" t="s">
        <v>886</v>
      </c>
      <c r="C329" s="7" t="s">
        <v>428</v>
      </c>
      <c r="D329" s="69">
        <f>D304</f>
        <v>66.3822584762664</v>
      </c>
      <c r="E329" s="38">
        <f>0.52*0.91</f>
        <v>0.4732</v>
      </c>
      <c r="F329" s="69">
        <f t="shared" si="22"/>
        <v>31.4120847109693</v>
      </c>
      <c r="G329" s="7"/>
      <c r="H329" s="7" t="s">
        <v>886</v>
      </c>
      <c r="I329" s="7" t="s">
        <v>428</v>
      </c>
      <c r="J329" s="69">
        <f>D329</f>
        <v>66.3822584762664</v>
      </c>
      <c r="K329" s="38">
        <f>0.52</f>
        <v>0.52</v>
      </c>
      <c r="L329" s="69">
        <f t="shared" si="23"/>
        <v>34.5187744076586</v>
      </c>
    </row>
    <row r="330" ht="13.5" customHeight="1" spans="1:12">
      <c r="A330" s="7"/>
      <c r="B330" s="7" t="s">
        <v>887</v>
      </c>
      <c r="C330" s="7" t="s">
        <v>428</v>
      </c>
      <c r="D330" s="69">
        <f>D305</f>
        <v>73.10267092142</v>
      </c>
      <c r="E330" s="38">
        <f>12.3*0.91</f>
        <v>11.193</v>
      </c>
      <c r="F330" s="69">
        <f t="shared" si="22"/>
        <v>818.238195623454</v>
      </c>
      <c r="G330" s="7"/>
      <c r="H330" s="7" t="s">
        <v>887</v>
      </c>
      <c r="I330" s="7" t="s">
        <v>428</v>
      </c>
      <c r="J330" s="69">
        <f>D330</f>
        <v>73.10267092142</v>
      </c>
      <c r="K330" s="38">
        <f>12.3</f>
        <v>12.3</v>
      </c>
      <c r="L330" s="69">
        <f t="shared" si="23"/>
        <v>899.162852333466</v>
      </c>
    </row>
    <row r="331" ht="13.5" customHeight="1" spans="1:12">
      <c r="A331" s="7" t="s">
        <v>564</v>
      </c>
      <c r="B331" s="7" t="s">
        <v>846</v>
      </c>
      <c r="C331" s="230">
        <f>取费表!$C$4</f>
        <v>0.048</v>
      </c>
      <c r="D331" s="34"/>
      <c r="E331" s="38">
        <f>F322</f>
        <v>1034.55062282187</v>
      </c>
      <c r="F331" s="69">
        <f>E331*C331</f>
        <v>49.6584298954498</v>
      </c>
      <c r="G331" s="7" t="s">
        <v>564</v>
      </c>
      <c r="H331" s="7" t="s">
        <v>846</v>
      </c>
      <c r="I331" s="230">
        <f>取费表!$C$4</f>
        <v>0.048</v>
      </c>
      <c r="J331" s="34"/>
      <c r="K331" s="38">
        <f>L322</f>
        <v>1141.76208235501</v>
      </c>
      <c r="L331" s="69">
        <f t="shared" ref="L331:L334" si="24">K331*I331</f>
        <v>54.8045799530403</v>
      </c>
    </row>
    <row r="332" ht="13.5" customHeight="1" spans="1:12">
      <c r="A332" s="7"/>
      <c r="B332" s="7"/>
      <c r="C332" s="230"/>
      <c r="D332" s="34"/>
      <c r="E332" s="38"/>
      <c r="F332" s="69"/>
      <c r="G332" s="7"/>
      <c r="H332" s="7"/>
      <c r="I332" s="230"/>
      <c r="J332" s="34"/>
      <c r="K332" s="38"/>
      <c r="L332" s="69"/>
    </row>
    <row r="333" ht="13.5" customHeight="1" spans="1:12">
      <c r="A333" s="7" t="s">
        <v>439</v>
      </c>
      <c r="B333" s="7" t="s">
        <v>847</v>
      </c>
      <c r="C333" s="230">
        <f>取费表!$E$4</f>
        <v>0.04</v>
      </c>
      <c r="D333" s="34"/>
      <c r="E333" s="38">
        <f>F321</f>
        <v>1084.20905271732</v>
      </c>
      <c r="F333" s="69">
        <f>E333*C333</f>
        <v>43.3683621086928</v>
      </c>
      <c r="G333" s="7" t="s">
        <v>439</v>
      </c>
      <c r="H333" s="7" t="s">
        <v>847</v>
      </c>
      <c r="I333" s="230">
        <f>取费表!$E$4</f>
        <v>0.04</v>
      </c>
      <c r="J333" s="34"/>
      <c r="K333" s="38">
        <f>L321</f>
        <v>1196.56666230805</v>
      </c>
      <c r="L333" s="69">
        <f t="shared" si="24"/>
        <v>47.8626664923218</v>
      </c>
    </row>
    <row r="334" ht="13.5" customHeight="1" spans="1:12">
      <c r="A334" s="7" t="s">
        <v>83</v>
      </c>
      <c r="B334" s="7" t="s">
        <v>848</v>
      </c>
      <c r="C334" s="230">
        <f>取费表!$F$4</f>
        <v>0.05</v>
      </c>
      <c r="D334" s="34"/>
      <c r="E334" s="38">
        <f>F333+F321</f>
        <v>1127.57741482601</v>
      </c>
      <c r="F334" s="69">
        <f>E334*C334</f>
        <v>56.3788707413007</v>
      </c>
      <c r="G334" s="7" t="s">
        <v>83</v>
      </c>
      <c r="H334" s="7" t="s">
        <v>848</v>
      </c>
      <c r="I334" s="230">
        <f>取费表!$F$4</f>
        <v>0.05</v>
      </c>
      <c r="J334" s="34"/>
      <c r="K334" s="38">
        <f>L333+L321</f>
        <v>1244.42932880037</v>
      </c>
      <c r="L334" s="69">
        <f t="shared" si="24"/>
        <v>62.2214664400184</v>
      </c>
    </row>
    <row r="335" ht="13.5" customHeight="1" spans="1:12">
      <c r="A335" s="7" t="s">
        <v>121</v>
      </c>
      <c r="B335" s="7" t="s">
        <v>861</v>
      </c>
      <c r="C335" s="9"/>
      <c r="D335" s="34"/>
      <c r="E335" s="38"/>
      <c r="F335" s="69">
        <f>F336</f>
        <v>602.6472088</v>
      </c>
      <c r="G335" s="7" t="s">
        <v>121</v>
      </c>
      <c r="H335" s="7" t="s">
        <v>861</v>
      </c>
      <c r="I335" s="9"/>
      <c r="J335" s="34"/>
      <c r="K335" s="38"/>
      <c r="L335" s="69">
        <f>L336</f>
        <v>662.24968</v>
      </c>
    </row>
    <row r="336" ht="13.5" customHeight="1" spans="1:12">
      <c r="A336" s="7"/>
      <c r="B336" s="7" t="s">
        <v>862</v>
      </c>
      <c r="C336" s="9" t="s">
        <v>863</v>
      </c>
      <c r="D336" s="34">
        <f>D311</f>
        <v>4.58</v>
      </c>
      <c r="E336" s="38">
        <f>E330*台时!G182+新定额单价!E329*台时!D14+新定额单价!E328*台时!C14</f>
        <v>131.58236</v>
      </c>
      <c r="F336" s="69">
        <f>E336*D336</f>
        <v>602.6472088</v>
      </c>
      <c r="G336" s="7"/>
      <c r="H336" s="7" t="s">
        <v>862</v>
      </c>
      <c r="I336" s="9" t="s">
        <v>863</v>
      </c>
      <c r="J336" s="34">
        <f>D336</f>
        <v>4.58</v>
      </c>
      <c r="K336" s="38">
        <f>K328*14.2+K329*8.4+K330*10.2</f>
        <v>144.596</v>
      </c>
      <c r="L336" s="69">
        <f>K336*J336</f>
        <v>662.24968</v>
      </c>
    </row>
    <row r="337" ht="13.5" customHeight="1" spans="1:12">
      <c r="A337" s="7" t="s">
        <v>135</v>
      </c>
      <c r="B337" s="7" t="s">
        <v>849</v>
      </c>
      <c r="C337" s="231">
        <f>C312</f>
        <v>0.09</v>
      </c>
      <c r="D337" s="7"/>
      <c r="E337" s="251">
        <f>F335+F334+F333+F321</f>
        <v>1786.60349436731</v>
      </c>
      <c r="F337" s="69">
        <f>E337*C337</f>
        <v>160.794314493058</v>
      </c>
      <c r="G337" s="7" t="s">
        <v>135</v>
      </c>
      <c r="H337" s="7" t="s">
        <v>849</v>
      </c>
      <c r="I337" s="231">
        <f>C337</f>
        <v>0.09</v>
      </c>
      <c r="J337" s="7"/>
      <c r="K337" s="251">
        <f>L335+L334+L333+L321</f>
        <v>1968.90047524039</v>
      </c>
      <c r="L337" s="69">
        <f>K337*I337</f>
        <v>177.201042771635</v>
      </c>
    </row>
    <row r="338" ht="13.5" customHeight="1" spans="1:12">
      <c r="A338" s="7"/>
      <c r="B338" s="7" t="s">
        <v>850</v>
      </c>
      <c r="C338" s="231"/>
      <c r="D338" s="7"/>
      <c r="E338" s="251"/>
      <c r="F338" s="69">
        <f>(F321+F333+F334+F335+F337)*取费表!H4</f>
        <v>58.4219342658111</v>
      </c>
      <c r="G338" s="7"/>
      <c r="H338" s="7" t="s">
        <v>850</v>
      </c>
      <c r="I338" s="231"/>
      <c r="J338" s="7"/>
      <c r="K338" s="251"/>
      <c r="L338" s="69">
        <f>(L321+L333+L334+L335+L337)*取费表!H12</f>
        <v>64.3830455403608</v>
      </c>
    </row>
    <row r="339" ht="13.5" customHeight="1" spans="1:12">
      <c r="A339" s="7"/>
      <c r="B339" s="7" t="s">
        <v>156</v>
      </c>
      <c r="C339" s="7"/>
      <c r="D339" s="7"/>
      <c r="E339" s="252"/>
      <c r="F339" s="69">
        <f>F337+F335+F334+F333+F321+F338</f>
        <v>2005.81974312618</v>
      </c>
      <c r="G339" s="7"/>
      <c r="H339" s="7" t="s">
        <v>156</v>
      </c>
      <c r="I339" s="7"/>
      <c r="J339" s="7"/>
      <c r="K339" s="252"/>
      <c r="L339" s="69">
        <f>L337+L335+L334+L333+L321+L338</f>
        <v>2210.48456355239</v>
      </c>
    </row>
    <row r="340" ht="13.5" customHeight="1" spans="1:12">
      <c r="A340" s="96"/>
      <c r="B340" s="96"/>
      <c r="C340" s="96"/>
      <c r="D340" s="96"/>
      <c r="E340" s="96"/>
      <c r="F340" s="243"/>
      <c r="G340" s="96"/>
      <c r="H340" s="96"/>
      <c r="I340" s="96"/>
      <c r="J340" s="96"/>
      <c r="K340" s="253"/>
      <c r="L340" s="243"/>
    </row>
    <row r="341" ht="13.5" customHeight="1" spans="1:12">
      <c r="A341" s="224" t="s">
        <v>828</v>
      </c>
      <c r="B341" s="225"/>
      <c r="C341" s="225"/>
      <c r="D341" s="225"/>
      <c r="E341" s="225"/>
      <c r="F341" s="225"/>
      <c r="G341" s="224" t="s">
        <v>828</v>
      </c>
      <c r="H341" s="225"/>
      <c r="I341" s="225"/>
      <c r="J341" s="225"/>
      <c r="K341" s="225"/>
      <c r="L341" s="225"/>
    </row>
    <row r="342" ht="13.5" customHeight="1" spans="1:12">
      <c r="A342" s="242" t="s">
        <v>900</v>
      </c>
      <c r="B342" s="242"/>
      <c r="C342" s="242"/>
      <c r="D342" s="242"/>
      <c r="E342" s="242"/>
      <c r="F342" s="242"/>
      <c r="G342" s="242" t="s">
        <v>900</v>
      </c>
      <c r="H342" s="242"/>
      <c r="I342" s="242"/>
      <c r="J342" s="242"/>
      <c r="K342" s="242"/>
      <c r="L342" s="242"/>
    </row>
    <row r="343" ht="13.5" customHeight="1" spans="1:12">
      <c r="A343" s="227" t="s">
        <v>902</v>
      </c>
      <c r="B343" s="228"/>
      <c r="C343" s="229"/>
      <c r="D343" s="229"/>
      <c r="E343" s="228" t="s">
        <v>832</v>
      </c>
      <c r="F343" s="228"/>
      <c r="G343" s="227" t="s">
        <v>902</v>
      </c>
      <c r="H343" s="228"/>
      <c r="I343" s="229"/>
      <c r="J343" s="229"/>
      <c r="K343" s="228" t="s">
        <v>832</v>
      </c>
      <c r="L343" s="228"/>
    </row>
    <row r="344" ht="13.5" customHeight="1" spans="1:12">
      <c r="A344" s="232" t="s">
        <v>907</v>
      </c>
      <c r="B344" s="233"/>
      <c r="C344" s="234"/>
      <c r="D344" s="234"/>
      <c r="E344" s="234"/>
      <c r="F344" s="235"/>
      <c r="G344" s="232" t="s">
        <v>908</v>
      </c>
      <c r="H344" s="233"/>
      <c r="I344" s="234"/>
      <c r="J344" s="234"/>
      <c r="K344" s="234"/>
      <c r="L344" s="235"/>
    </row>
    <row r="345" ht="13.5" customHeight="1" spans="1:12">
      <c r="A345" s="7" t="s">
        <v>104</v>
      </c>
      <c r="B345" s="7" t="s">
        <v>835</v>
      </c>
      <c r="C345" s="7" t="s">
        <v>159</v>
      </c>
      <c r="D345" s="7" t="s">
        <v>422</v>
      </c>
      <c r="E345" s="7" t="s">
        <v>160</v>
      </c>
      <c r="F345" s="7" t="s">
        <v>18</v>
      </c>
      <c r="G345" s="7" t="s">
        <v>104</v>
      </c>
      <c r="H345" s="7" t="s">
        <v>835</v>
      </c>
      <c r="I345" s="7" t="s">
        <v>159</v>
      </c>
      <c r="J345" s="7" t="s">
        <v>422</v>
      </c>
      <c r="K345" s="7" t="s">
        <v>160</v>
      </c>
      <c r="L345" s="7" t="s">
        <v>18</v>
      </c>
    </row>
    <row r="346" ht="13.5" customHeight="1" spans="1:12">
      <c r="A346" s="7" t="s">
        <v>836</v>
      </c>
      <c r="B346" s="7" t="s">
        <v>837</v>
      </c>
      <c r="C346" s="7"/>
      <c r="D346" s="7"/>
      <c r="E346" s="7"/>
      <c r="F346" s="34">
        <f>F347+F356+F357</f>
        <v>1186.98206115457</v>
      </c>
      <c r="G346" s="7" t="s">
        <v>836</v>
      </c>
      <c r="H346" s="7" t="s">
        <v>837</v>
      </c>
      <c r="I346" s="7"/>
      <c r="J346" s="7"/>
      <c r="K346" s="7"/>
      <c r="L346" s="34">
        <f>L347+L356+L357</f>
        <v>1392.52807802908</v>
      </c>
    </row>
    <row r="347" ht="13.5" customHeight="1" spans="1:12">
      <c r="A347" s="7" t="s">
        <v>539</v>
      </c>
      <c r="B347" s="7" t="s">
        <v>838</v>
      </c>
      <c r="C347" s="7"/>
      <c r="D347" s="7"/>
      <c r="E347" s="7"/>
      <c r="F347" s="34">
        <f>F348+F351+F352</f>
        <v>1132.61647056734</v>
      </c>
      <c r="G347" s="7" t="s">
        <v>539</v>
      </c>
      <c r="H347" s="7" t="s">
        <v>838</v>
      </c>
      <c r="I347" s="7"/>
      <c r="J347" s="7"/>
      <c r="K347" s="7"/>
      <c r="L347" s="34">
        <f>L348+L351+L352</f>
        <v>1328.74816605828</v>
      </c>
    </row>
    <row r="348" ht="13.5" customHeight="1" spans="1:12">
      <c r="A348" s="7">
        <v>1</v>
      </c>
      <c r="B348" s="7" t="s">
        <v>839</v>
      </c>
      <c r="C348" s="7" t="s">
        <v>840</v>
      </c>
      <c r="D348" s="69"/>
      <c r="E348" s="69">
        <f>SUM(E349:E350)</f>
        <v>4.732</v>
      </c>
      <c r="F348" s="69">
        <f>SUM(F349:F350)</f>
        <v>27.30364</v>
      </c>
      <c r="G348" s="7">
        <v>1</v>
      </c>
      <c r="H348" s="7" t="s">
        <v>839</v>
      </c>
      <c r="I348" s="7" t="s">
        <v>840</v>
      </c>
      <c r="J348" s="69"/>
      <c r="K348" s="69">
        <f>SUM(K349:K350)</f>
        <v>4.732</v>
      </c>
      <c r="L348" s="69">
        <f>SUM(L349:L350)</f>
        <v>27.30364</v>
      </c>
    </row>
    <row r="349" ht="13.5" customHeight="1" spans="1:12">
      <c r="A349" s="7"/>
      <c r="B349" s="7" t="s">
        <v>841</v>
      </c>
      <c r="C349" s="7" t="s">
        <v>840</v>
      </c>
      <c r="D349" s="69">
        <f>D324</f>
        <v>8.1</v>
      </c>
      <c r="E349" s="69">
        <v>0</v>
      </c>
      <c r="F349" s="69">
        <f t="shared" ref="F349:F350" si="25">D349*E349</f>
        <v>0</v>
      </c>
      <c r="G349" s="7"/>
      <c r="H349" s="7" t="s">
        <v>841</v>
      </c>
      <c r="I349" s="7" t="s">
        <v>840</v>
      </c>
      <c r="J349" s="69">
        <f>J324</f>
        <v>8.1</v>
      </c>
      <c r="K349" s="69">
        <v>0</v>
      </c>
      <c r="L349" s="69">
        <f t="shared" ref="L349:L350" si="26">J349*K349</f>
        <v>0</v>
      </c>
    </row>
    <row r="350" ht="13.5" customHeight="1" spans="1:12">
      <c r="A350" s="7"/>
      <c r="B350" s="7" t="s">
        <v>842</v>
      </c>
      <c r="C350" s="7" t="s">
        <v>840</v>
      </c>
      <c r="D350" s="69">
        <f>D325</f>
        <v>5.77</v>
      </c>
      <c r="E350" s="69">
        <f>5.2*0.91</f>
        <v>4.732</v>
      </c>
      <c r="F350" s="69">
        <f t="shared" si="25"/>
        <v>27.30364</v>
      </c>
      <c r="G350" s="7"/>
      <c r="H350" s="7" t="s">
        <v>842</v>
      </c>
      <c r="I350" s="7" t="s">
        <v>840</v>
      </c>
      <c r="J350" s="69">
        <f>J325</f>
        <v>5.77</v>
      </c>
      <c r="K350" s="69">
        <f>5.2*0.91</f>
        <v>4.732</v>
      </c>
      <c r="L350" s="69">
        <f t="shared" si="26"/>
        <v>27.30364</v>
      </c>
    </row>
    <row r="351" ht="13.5" customHeight="1" spans="1:12">
      <c r="A351" s="7">
        <v>2</v>
      </c>
      <c r="B351" s="7" t="s">
        <v>844</v>
      </c>
      <c r="C351" s="9" t="s">
        <v>845</v>
      </c>
      <c r="D351" s="34">
        <f>F348+F352</f>
        <v>1083.32517510028</v>
      </c>
      <c r="E351" s="7">
        <f>5*0.91</f>
        <v>4.55</v>
      </c>
      <c r="F351" s="69">
        <f>D351*E351/100</f>
        <v>49.2912954670627</v>
      </c>
      <c r="G351" s="7">
        <v>2</v>
      </c>
      <c r="H351" s="7" t="s">
        <v>844</v>
      </c>
      <c r="I351" s="9" t="s">
        <v>845</v>
      </c>
      <c r="J351" s="34">
        <f>L348+L352</f>
        <v>1270.92124921883</v>
      </c>
      <c r="K351" s="7">
        <f>5*0.91</f>
        <v>4.55</v>
      </c>
      <c r="L351" s="69">
        <f>J351*K351/100</f>
        <v>57.8269168394566</v>
      </c>
    </row>
    <row r="352" ht="13.5" customHeight="1" spans="1:12">
      <c r="A352" s="7">
        <v>3</v>
      </c>
      <c r="B352" s="7" t="s">
        <v>859</v>
      </c>
      <c r="C352" s="7"/>
      <c r="D352" s="7"/>
      <c r="E352" s="7"/>
      <c r="F352" s="250">
        <f>SUM(F353:F355)</f>
        <v>1056.02153510028</v>
      </c>
      <c r="G352" s="7">
        <v>3</v>
      </c>
      <c r="H352" s="7" t="s">
        <v>859</v>
      </c>
      <c r="I352" s="7"/>
      <c r="J352" s="7"/>
      <c r="K352" s="7"/>
      <c r="L352" s="250">
        <f>SUM(L353:L355)</f>
        <v>1243.61760921883</v>
      </c>
    </row>
    <row r="353" ht="13.5" customHeight="1" spans="1:12">
      <c r="A353" s="7"/>
      <c r="B353" s="7" t="s">
        <v>885</v>
      </c>
      <c r="C353" s="7" t="s">
        <v>428</v>
      </c>
      <c r="D353" s="69">
        <f>D328</f>
        <v>118.94887754288</v>
      </c>
      <c r="E353" s="38">
        <f>1.04*0.91</f>
        <v>0.9464</v>
      </c>
      <c r="F353" s="69">
        <f t="shared" ref="F353:F355" si="27">D353*E353</f>
        <v>112.573217706582</v>
      </c>
      <c r="G353" s="7"/>
      <c r="H353" s="7" t="s">
        <v>885</v>
      </c>
      <c r="I353" s="7" t="s">
        <v>428</v>
      </c>
      <c r="J353" s="69">
        <f>J328</f>
        <v>118.94887754288</v>
      </c>
      <c r="K353" s="38">
        <f>1.04*0.91</f>
        <v>0.9464</v>
      </c>
      <c r="L353" s="69">
        <f t="shared" ref="L353:L355" si="28">J353*K353</f>
        <v>112.573217706582</v>
      </c>
    </row>
    <row r="354" ht="13.5" customHeight="1" spans="1:12">
      <c r="A354" s="7"/>
      <c r="B354" s="7" t="s">
        <v>886</v>
      </c>
      <c r="C354" s="7" t="s">
        <v>428</v>
      </c>
      <c r="D354" s="69">
        <f>D329</f>
        <v>66.3822584762664</v>
      </c>
      <c r="E354" s="38">
        <f>0.52*0.91</f>
        <v>0.4732</v>
      </c>
      <c r="F354" s="69">
        <f t="shared" si="27"/>
        <v>31.4120847109693</v>
      </c>
      <c r="G354" s="7"/>
      <c r="H354" s="7" t="s">
        <v>886</v>
      </c>
      <c r="I354" s="7" t="s">
        <v>428</v>
      </c>
      <c r="J354" s="69">
        <f>J329</f>
        <v>66.3822584762664</v>
      </c>
      <c r="K354" s="38">
        <f>0.52*0.91</f>
        <v>0.4732</v>
      </c>
      <c r="L354" s="69">
        <f t="shared" si="28"/>
        <v>31.4120847109693</v>
      </c>
    </row>
    <row r="355" ht="13.5" customHeight="1" spans="1:12">
      <c r="A355" s="7"/>
      <c r="B355" s="7" t="s">
        <v>887</v>
      </c>
      <c r="C355" s="7" t="s">
        <v>428</v>
      </c>
      <c r="D355" s="69">
        <f>D330</f>
        <v>73.10267092142</v>
      </c>
      <c r="E355" s="38">
        <f>13.71*0.91</f>
        <v>12.4761</v>
      </c>
      <c r="F355" s="69">
        <f t="shared" si="27"/>
        <v>912.036232682728</v>
      </c>
      <c r="G355" s="7"/>
      <c r="H355" s="7" t="s">
        <v>887</v>
      </c>
      <c r="I355" s="7" t="s">
        <v>428</v>
      </c>
      <c r="J355" s="69">
        <f>J330</f>
        <v>73.10267092142</v>
      </c>
      <c r="K355" s="255">
        <f>12.3*0.91+1.41*0.91*3</f>
        <v>15.0423</v>
      </c>
      <c r="L355" s="69">
        <f t="shared" si="28"/>
        <v>1099.63230680128</v>
      </c>
    </row>
    <row r="356" ht="13.5" customHeight="1" spans="1:12">
      <c r="A356" s="7" t="s">
        <v>564</v>
      </c>
      <c r="B356" s="7" t="s">
        <v>846</v>
      </c>
      <c r="C356" s="230">
        <f>取费表!$C$4</f>
        <v>0.048</v>
      </c>
      <c r="D356" s="34"/>
      <c r="E356" s="38">
        <f>F347</f>
        <v>1132.61647056734</v>
      </c>
      <c r="F356" s="69">
        <f>E356*C356</f>
        <v>54.3655905872324</v>
      </c>
      <c r="G356" s="7" t="s">
        <v>564</v>
      </c>
      <c r="H356" s="7" t="s">
        <v>846</v>
      </c>
      <c r="I356" s="230">
        <f>取费表!$C$4</f>
        <v>0.048</v>
      </c>
      <c r="J356" s="34"/>
      <c r="K356" s="38">
        <f>L347</f>
        <v>1328.74816605828</v>
      </c>
      <c r="L356" s="69">
        <f>K356*I356</f>
        <v>63.7799119707976</v>
      </c>
    </row>
    <row r="357" ht="13.5" customHeight="1" spans="1:12">
      <c r="A357" s="7"/>
      <c r="B357" s="7"/>
      <c r="C357" s="230"/>
      <c r="D357" s="34"/>
      <c r="E357" s="38"/>
      <c r="F357" s="69"/>
      <c r="G357" s="7"/>
      <c r="H357" s="7"/>
      <c r="I357" s="230"/>
      <c r="J357" s="34"/>
      <c r="K357" s="38"/>
      <c r="L357" s="69"/>
    </row>
    <row r="358" ht="13.5" customHeight="1" spans="1:12">
      <c r="A358" s="7" t="s">
        <v>439</v>
      </c>
      <c r="B358" s="7" t="s">
        <v>847</v>
      </c>
      <c r="C358" s="230">
        <f>取费表!$E$4</f>
        <v>0.04</v>
      </c>
      <c r="D358" s="34"/>
      <c r="E358" s="38">
        <f>F346</f>
        <v>1186.98206115457</v>
      </c>
      <c r="F358" s="69">
        <f>E358*C358</f>
        <v>47.479282446183</v>
      </c>
      <c r="G358" s="7" t="s">
        <v>439</v>
      </c>
      <c r="H358" s="7" t="s">
        <v>847</v>
      </c>
      <c r="I358" s="230">
        <f>取费表!$E$4</f>
        <v>0.04</v>
      </c>
      <c r="J358" s="34"/>
      <c r="K358" s="38">
        <f>L346</f>
        <v>1392.52807802908</v>
      </c>
      <c r="L358" s="69">
        <f>K358*I358</f>
        <v>55.7011231211633</v>
      </c>
    </row>
    <row r="359" ht="13.5" customHeight="1" spans="1:12">
      <c r="A359" s="7" t="s">
        <v>83</v>
      </c>
      <c r="B359" s="7" t="s">
        <v>848</v>
      </c>
      <c r="C359" s="230">
        <f>取费表!$F$4</f>
        <v>0.05</v>
      </c>
      <c r="D359" s="34"/>
      <c r="E359" s="38">
        <f>F358+F346</f>
        <v>1234.46134360076</v>
      </c>
      <c r="F359" s="69">
        <f>E359*C359</f>
        <v>61.7230671800379</v>
      </c>
      <c r="G359" s="7" t="s">
        <v>83</v>
      </c>
      <c r="H359" s="7" t="s">
        <v>848</v>
      </c>
      <c r="I359" s="230">
        <f>取费表!$F$4</f>
        <v>0.05</v>
      </c>
      <c r="J359" s="34"/>
      <c r="K359" s="38">
        <f>L358+L346</f>
        <v>1448.22920115024</v>
      </c>
      <c r="L359" s="69">
        <f>K359*I359</f>
        <v>72.4114600575122</v>
      </c>
    </row>
    <row r="360" ht="13.5" customHeight="1" spans="1:12">
      <c r="A360" s="7" t="s">
        <v>121</v>
      </c>
      <c r="B360" s="7" t="s">
        <v>861</v>
      </c>
      <c r="C360" s="9"/>
      <c r="D360" s="34"/>
      <c r="E360" s="38"/>
      <c r="F360" s="69">
        <f>F361</f>
        <v>662.5885084</v>
      </c>
      <c r="G360" s="7" t="s">
        <v>121</v>
      </c>
      <c r="H360" s="7" t="s">
        <v>861</v>
      </c>
      <c r="I360" s="9"/>
      <c r="J360" s="34"/>
      <c r="K360" s="38"/>
      <c r="L360" s="69">
        <f>L361</f>
        <v>782.4711076</v>
      </c>
    </row>
    <row r="361" ht="13.5" customHeight="1" spans="1:12">
      <c r="A361" s="7"/>
      <c r="B361" s="7" t="s">
        <v>862</v>
      </c>
      <c r="C361" s="9" t="s">
        <v>863</v>
      </c>
      <c r="D361" s="34">
        <f>D336</f>
        <v>4.58</v>
      </c>
      <c r="E361" s="38">
        <f>E353*14.2+E354*8.4+新定额单价!E355*10.2</f>
        <v>144.66998</v>
      </c>
      <c r="F361" s="69">
        <f>E361*D361</f>
        <v>662.5885084</v>
      </c>
      <c r="G361" s="7"/>
      <c r="H361" s="7" t="s">
        <v>862</v>
      </c>
      <c r="I361" s="9" t="s">
        <v>863</v>
      </c>
      <c r="J361" s="34">
        <f>J336</f>
        <v>4.58</v>
      </c>
      <c r="K361" s="38">
        <f>K353*14.2+K354*8.4+新定额单价!K355*10.2</f>
        <v>170.84522</v>
      </c>
      <c r="L361" s="69">
        <f>K361*J361</f>
        <v>782.4711076</v>
      </c>
    </row>
    <row r="362" ht="13.5" customHeight="1" spans="1:12">
      <c r="A362" s="7" t="s">
        <v>135</v>
      </c>
      <c r="B362" s="7" t="s">
        <v>849</v>
      </c>
      <c r="C362" s="231">
        <f>C337</f>
        <v>0.09</v>
      </c>
      <c r="D362" s="7"/>
      <c r="E362" s="251">
        <f>F360+F359+F358+F346</f>
        <v>1958.77291918079</v>
      </c>
      <c r="F362" s="69">
        <f>E362*C362</f>
        <v>176.289562726271</v>
      </c>
      <c r="G362" s="7" t="s">
        <v>135</v>
      </c>
      <c r="H362" s="7" t="s">
        <v>849</v>
      </c>
      <c r="I362" s="231">
        <f>I337</f>
        <v>0.09</v>
      </c>
      <c r="J362" s="7"/>
      <c r="K362" s="251">
        <f>L360+L359+L358+L346</f>
        <v>2303.11176880776</v>
      </c>
      <c r="L362" s="69">
        <f>K362*I362</f>
        <v>207.280059192698</v>
      </c>
    </row>
    <row r="363" ht="13.5" customHeight="1" spans="1:12">
      <c r="A363" s="7"/>
      <c r="B363" s="7" t="s">
        <v>850</v>
      </c>
      <c r="C363" s="231"/>
      <c r="D363" s="7"/>
      <c r="E363" s="251"/>
      <c r="F363" s="69">
        <f>(F346+F358+F359+F360+F362)*取费表!H4</f>
        <v>64.0518744572119</v>
      </c>
      <c r="G363" s="7"/>
      <c r="H363" s="7" t="s">
        <v>850</v>
      </c>
      <c r="I363" s="231"/>
      <c r="J363" s="7"/>
      <c r="K363" s="251"/>
      <c r="L363" s="69">
        <f>(L346+L358+L359+L360+L362)*取费表!H4</f>
        <v>75.3117548400136</v>
      </c>
    </row>
    <row r="364" ht="13.5" customHeight="1" spans="1:12">
      <c r="A364" s="7"/>
      <c r="B364" s="7" t="s">
        <v>156</v>
      </c>
      <c r="C364" s="7"/>
      <c r="D364" s="7"/>
      <c r="E364" s="252"/>
      <c r="F364" s="69">
        <f>F362+F360+F359+F358+F346+F363</f>
        <v>2199.11435636427</v>
      </c>
      <c r="G364" s="7"/>
      <c r="H364" s="7" t="s">
        <v>156</v>
      </c>
      <c r="I364" s="7"/>
      <c r="J364" s="7"/>
      <c r="K364" s="252"/>
      <c r="L364" s="69">
        <f>L362+L360+L359+L358+L346+L363</f>
        <v>2585.70358284047</v>
      </c>
    </row>
    <row r="365" ht="13.5" customHeight="1" spans="1:12">
      <c r="A365" s="96"/>
      <c r="B365" s="96"/>
      <c r="C365" s="96"/>
      <c r="D365" s="96"/>
      <c r="E365" s="253"/>
      <c r="F365" s="243"/>
      <c r="G365" s="96"/>
      <c r="H365" s="96"/>
      <c r="I365" s="96"/>
      <c r="J365" s="96"/>
      <c r="K365" s="253"/>
      <c r="L365" s="243"/>
    </row>
    <row r="366" ht="13.5" customHeight="1" spans="1:12">
      <c r="A366" s="96"/>
      <c r="B366" s="96"/>
      <c r="C366" s="96"/>
      <c r="D366" s="96"/>
      <c r="E366" s="253"/>
      <c r="F366" s="243"/>
      <c r="G366" s="96"/>
      <c r="H366" s="96"/>
      <c r="I366" s="96"/>
      <c r="J366" s="96"/>
      <c r="K366" s="253"/>
      <c r="L366" s="243"/>
    </row>
    <row r="367" s="216" customFormat="1" ht="13.5" customHeight="1" spans="1:6">
      <c r="A367" s="226" t="s">
        <v>909</v>
      </c>
      <c r="B367" s="226"/>
      <c r="C367" s="226"/>
      <c r="D367" s="226"/>
      <c r="E367" s="226"/>
      <c r="F367" s="226"/>
    </row>
    <row r="368" s="216" customFormat="1" ht="13.5" customHeight="1" spans="1:6">
      <c r="A368" s="227" t="s">
        <v>910</v>
      </c>
      <c r="B368" s="228"/>
      <c r="C368" s="229"/>
      <c r="D368" s="229"/>
      <c r="E368" s="228" t="s">
        <v>832</v>
      </c>
      <c r="F368" s="228"/>
    </row>
    <row r="369" s="216" customFormat="1" ht="13.5" customHeight="1" spans="1:6">
      <c r="A369" s="232" t="s">
        <v>911</v>
      </c>
      <c r="B369" s="233"/>
      <c r="C369" s="234"/>
      <c r="D369" s="234"/>
      <c r="E369" s="234"/>
      <c r="F369" s="235"/>
    </row>
    <row r="370" s="216" customFormat="1" ht="13.5" customHeight="1" spans="1:6">
      <c r="A370" s="7" t="s">
        <v>104</v>
      </c>
      <c r="B370" s="7" t="s">
        <v>835</v>
      </c>
      <c r="C370" s="7" t="s">
        <v>159</v>
      </c>
      <c r="D370" s="7" t="s">
        <v>422</v>
      </c>
      <c r="E370" s="7" t="s">
        <v>160</v>
      </c>
      <c r="F370" s="7" t="s">
        <v>18</v>
      </c>
    </row>
    <row r="371" s="216" customFormat="1" ht="13.5" customHeight="1" spans="1:6">
      <c r="A371" s="7" t="s">
        <v>836</v>
      </c>
      <c r="B371" s="7" t="s">
        <v>837</v>
      </c>
      <c r="C371" s="7"/>
      <c r="D371" s="7"/>
      <c r="E371" s="7"/>
      <c r="F371" s="34">
        <f>F372+F385+F386</f>
        <v>387.201127909076</v>
      </c>
    </row>
    <row r="372" s="216" customFormat="1" ht="13.5" customHeight="1" spans="1:6">
      <c r="A372" s="7" t="s">
        <v>539</v>
      </c>
      <c r="B372" s="7" t="s">
        <v>838</v>
      </c>
      <c r="C372" s="7"/>
      <c r="D372" s="7"/>
      <c r="E372" s="7"/>
      <c r="F372" s="34">
        <f>F373+F376+F379</f>
        <v>369.466725104081</v>
      </c>
    </row>
    <row r="373" s="216" customFormat="1" ht="13.5" customHeight="1" spans="1:6">
      <c r="A373" s="7">
        <v>1</v>
      </c>
      <c r="B373" s="7" t="s">
        <v>839</v>
      </c>
      <c r="C373" s="7" t="s">
        <v>840</v>
      </c>
      <c r="D373" s="69"/>
      <c r="E373" s="69">
        <f>SUM(E374:E375)</f>
        <v>20</v>
      </c>
      <c r="F373" s="34">
        <f>SUM(F374:F375)</f>
        <v>115.4</v>
      </c>
    </row>
    <row r="374" s="217" customFormat="1" ht="13.5" customHeight="1" spans="1:6">
      <c r="A374" s="7"/>
      <c r="B374" s="7" t="s">
        <v>841</v>
      </c>
      <c r="C374" s="7" t="s">
        <v>840</v>
      </c>
      <c r="D374" s="69">
        <f>材料预算价!K29</f>
        <v>8.1</v>
      </c>
      <c r="E374" s="69">
        <v>0</v>
      </c>
      <c r="F374" s="34">
        <f>D374*E374</f>
        <v>0</v>
      </c>
    </row>
    <row r="375" s="217" customFormat="1" ht="13.5" customHeight="1" spans="1:6">
      <c r="A375" s="7"/>
      <c r="B375" s="7" t="s">
        <v>842</v>
      </c>
      <c r="C375" s="7" t="s">
        <v>840</v>
      </c>
      <c r="D375" s="69">
        <f>材料预算价!K28</f>
        <v>5.77</v>
      </c>
      <c r="E375" s="69">
        <f>20</f>
        <v>20</v>
      </c>
      <c r="F375" s="34">
        <f>D375*E375</f>
        <v>115.4</v>
      </c>
    </row>
    <row r="376" s="216" customFormat="1" ht="13.5" customHeight="1" spans="1:6">
      <c r="A376" s="7">
        <v>2</v>
      </c>
      <c r="B376" s="7" t="s">
        <v>912</v>
      </c>
      <c r="C376" s="9"/>
      <c r="D376" s="7"/>
      <c r="E376" s="7"/>
      <c r="F376" s="34">
        <f>F377+F378</f>
        <v>33.587884100371</v>
      </c>
    </row>
    <row r="377" s="216" customFormat="1" ht="13.5" customHeight="1" spans="1:6">
      <c r="A377" s="7"/>
      <c r="B377" s="7" t="s">
        <v>913</v>
      </c>
      <c r="C377" s="9" t="s">
        <v>776</v>
      </c>
      <c r="D377" s="69">
        <f>材料预算价!K13</f>
        <v>3.59</v>
      </c>
      <c r="E377" s="69"/>
      <c r="F377" s="34">
        <f>D377*E377</f>
        <v>0</v>
      </c>
    </row>
    <row r="378" s="216" customFormat="1" ht="13.5" customHeight="1" spans="1:6">
      <c r="A378" s="7"/>
      <c r="B378" s="7" t="s">
        <v>844</v>
      </c>
      <c r="C378" s="9" t="s">
        <v>845</v>
      </c>
      <c r="D378" s="42">
        <f>F373+F379</f>
        <v>335.87884100371</v>
      </c>
      <c r="E378" s="7">
        <v>10</v>
      </c>
      <c r="F378" s="34">
        <f>E378*D378/100</f>
        <v>33.587884100371</v>
      </c>
    </row>
    <row r="379" s="216" customFormat="1" ht="13.5" customHeight="1" spans="1:6">
      <c r="A379" s="7">
        <v>3</v>
      </c>
      <c r="B379" s="7" t="s">
        <v>859</v>
      </c>
      <c r="C379" s="7"/>
      <c r="D379" s="7"/>
      <c r="E379" s="7"/>
      <c r="F379" s="254">
        <f>SUM(F380:F384)</f>
        <v>220.47884100371</v>
      </c>
    </row>
    <row r="380" s="216" customFormat="1" ht="13.5" customHeight="1" spans="1:6">
      <c r="A380" s="7"/>
      <c r="B380" s="7" t="s">
        <v>914</v>
      </c>
      <c r="C380" s="7" t="s">
        <v>428</v>
      </c>
      <c r="D380" s="34">
        <f>台时!G21</f>
        <v>68.4126713203031</v>
      </c>
      <c r="E380" s="7">
        <v>1.89</v>
      </c>
      <c r="F380" s="69">
        <f>D380*E380</f>
        <v>129.299948795373</v>
      </c>
    </row>
    <row r="381" s="216" customFormat="1" ht="13.5" customHeight="1" spans="1:6">
      <c r="A381" s="7"/>
      <c r="B381" s="7" t="s">
        <v>915</v>
      </c>
      <c r="C381" s="7" t="s">
        <v>428</v>
      </c>
      <c r="D381" s="69">
        <f>台时!E21</f>
        <v>89.4423446350219</v>
      </c>
      <c r="E381" s="7">
        <v>0.5</v>
      </c>
      <c r="F381" s="69">
        <f>D381*E381</f>
        <v>44.721172317511</v>
      </c>
    </row>
    <row r="382" s="216" customFormat="1" ht="13.5" customHeight="1" spans="1:6">
      <c r="A382" s="7"/>
      <c r="B382" s="7" t="s">
        <v>916</v>
      </c>
      <c r="C382" s="7" t="s">
        <v>428</v>
      </c>
      <c r="D382" s="69">
        <f>台时!H21</f>
        <v>18.5994315915437</v>
      </c>
      <c r="E382" s="7">
        <v>1</v>
      </c>
      <c r="F382" s="69">
        <f>D382*E382</f>
        <v>18.5994315915437</v>
      </c>
    </row>
    <row r="383" s="216" customFormat="1" ht="13.5" customHeight="1" spans="1:6">
      <c r="A383" s="7"/>
      <c r="B383" s="7" t="s">
        <v>917</v>
      </c>
      <c r="C383" s="7" t="s">
        <v>428</v>
      </c>
      <c r="D383" s="69">
        <f>台时!C168</f>
        <v>51.3506589549262</v>
      </c>
      <c r="E383" s="7">
        <v>0.5</v>
      </c>
      <c r="F383" s="69">
        <f>D383*E383</f>
        <v>25.6753294774631</v>
      </c>
    </row>
    <row r="384" s="216" customFormat="1" ht="13.5" customHeight="1" spans="1:6">
      <c r="A384" s="7"/>
      <c r="B384" s="7" t="s">
        <v>918</v>
      </c>
      <c r="C384" s="9" t="s">
        <v>845</v>
      </c>
      <c r="D384" s="250">
        <f>SUM(F380:F383)</f>
        <v>218.295882181891</v>
      </c>
      <c r="E384" s="7">
        <v>1</v>
      </c>
      <c r="F384" s="69">
        <f>D384*E384/100</f>
        <v>2.18295882181891</v>
      </c>
    </row>
    <row r="385" s="216" customFormat="1" ht="13.5" customHeight="1" spans="1:6">
      <c r="A385" s="7" t="s">
        <v>564</v>
      </c>
      <c r="B385" s="7" t="s">
        <v>846</v>
      </c>
      <c r="C385" s="230">
        <f>取费表!$C$4</f>
        <v>0.048</v>
      </c>
      <c r="D385" s="250"/>
      <c r="E385" s="34">
        <f>F372</f>
        <v>369.466725104081</v>
      </c>
      <c r="F385" s="69">
        <f>E385*C385</f>
        <v>17.7344028049959</v>
      </c>
    </row>
    <row r="386" s="216" customFormat="1" ht="13.5" customHeight="1" spans="1:6">
      <c r="A386" s="7"/>
      <c r="B386" s="7"/>
      <c r="C386" s="230"/>
      <c r="D386" s="250"/>
      <c r="E386" s="34"/>
      <c r="F386" s="69"/>
    </row>
    <row r="387" s="216" customFormat="1" ht="13.5" customHeight="1" spans="1:6">
      <c r="A387" s="7" t="s">
        <v>439</v>
      </c>
      <c r="B387" s="7" t="s">
        <v>847</v>
      </c>
      <c r="C387" s="230">
        <f>取费表!$E$4</f>
        <v>0.04</v>
      </c>
      <c r="D387" s="250"/>
      <c r="E387" s="34">
        <f>F371</f>
        <v>387.201127909076</v>
      </c>
      <c r="F387" s="69">
        <f>E387*C387</f>
        <v>15.4880451163631</v>
      </c>
    </row>
    <row r="388" s="216" customFormat="1" ht="13.5" customHeight="1" spans="1:6">
      <c r="A388" s="7" t="s">
        <v>83</v>
      </c>
      <c r="B388" s="7" t="s">
        <v>848</v>
      </c>
      <c r="C388" s="230">
        <f>取费表!$F$4</f>
        <v>0.05</v>
      </c>
      <c r="D388" s="250"/>
      <c r="E388" s="34">
        <f>F387+F371</f>
        <v>402.689173025439</v>
      </c>
      <c r="F388" s="69">
        <f>E388*C388</f>
        <v>20.134458651272</v>
      </c>
    </row>
    <row r="389" s="216" customFormat="1" ht="13.5" customHeight="1" spans="1:6">
      <c r="A389" s="7" t="s">
        <v>121</v>
      </c>
      <c r="B389" s="7" t="s">
        <v>861</v>
      </c>
      <c r="C389" s="9"/>
      <c r="D389" s="250"/>
      <c r="E389" s="34"/>
      <c r="F389" s="69">
        <f>F390</f>
        <v>126.91638</v>
      </c>
    </row>
    <row r="390" ht="13.5" customHeight="1" spans="1:6">
      <c r="A390" s="7"/>
      <c r="B390" s="7" t="s">
        <v>862</v>
      </c>
      <c r="C390" s="9" t="s">
        <v>863</v>
      </c>
      <c r="D390" s="34">
        <f>材料预算价!K11-材料预算价!L11</f>
        <v>4.58</v>
      </c>
      <c r="E390" s="34">
        <f>E380*台时!G14+新定额单价!E381*台时!E14+E383*7.4</f>
        <v>27.711</v>
      </c>
      <c r="F390" s="69">
        <f>E390*D390</f>
        <v>126.91638</v>
      </c>
    </row>
    <row r="391" ht="13.5" customHeight="1" spans="1:6">
      <c r="A391" s="7" t="s">
        <v>135</v>
      </c>
      <c r="B391" s="7" t="s">
        <v>849</v>
      </c>
      <c r="C391" s="231">
        <f>C337</f>
        <v>0.09</v>
      </c>
      <c r="D391" s="34"/>
      <c r="E391" s="38">
        <f>F389+F388+F387+F371</f>
        <v>549.740011676711</v>
      </c>
      <c r="F391" s="69">
        <f>E391*C391</f>
        <v>49.476601050904</v>
      </c>
    </row>
    <row r="392" ht="13.5" customHeight="1" spans="1:6">
      <c r="A392" s="7"/>
      <c r="B392" s="7" t="s">
        <v>850</v>
      </c>
      <c r="C392" s="231"/>
      <c r="D392" s="34"/>
      <c r="E392" s="38"/>
      <c r="F392" s="69">
        <f>(F371+F387+F388+F389+F391)*取费表!H4</f>
        <v>17.9764983818284</v>
      </c>
    </row>
    <row r="393" s="216" customFormat="1" ht="13.5" customHeight="1" spans="1:6">
      <c r="A393" s="7"/>
      <c r="B393" s="7" t="s">
        <v>156</v>
      </c>
      <c r="C393" s="7"/>
      <c r="D393" s="7"/>
      <c r="E393" s="7"/>
      <c r="F393" s="69">
        <f>F391+F389+F388+F387+F371+F392</f>
        <v>617.193111109444</v>
      </c>
    </row>
    <row r="394" s="216" customFormat="1" customHeight="1" spans="1:12">
      <c r="A394" s="224" t="s">
        <v>828</v>
      </c>
      <c r="B394" s="225"/>
      <c r="C394" s="225"/>
      <c r="D394" s="225"/>
      <c r="E394" s="225"/>
      <c r="F394" s="225"/>
      <c r="G394" s="224" t="s">
        <v>828</v>
      </c>
      <c r="H394" s="225"/>
      <c r="I394" s="225"/>
      <c r="J394" s="225"/>
      <c r="K394" s="225"/>
      <c r="L394" s="225"/>
    </row>
    <row r="395" s="216" customFormat="1" customHeight="1" spans="1:12">
      <c r="A395" s="226" t="s">
        <v>919</v>
      </c>
      <c r="B395" s="226"/>
      <c r="C395" s="226"/>
      <c r="D395" s="226"/>
      <c r="E395" s="226"/>
      <c r="F395" s="226"/>
      <c r="G395" s="226" t="s">
        <v>919</v>
      </c>
      <c r="H395" s="226"/>
      <c r="I395" s="226"/>
      <c r="J395" s="226"/>
      <c r="K395" s="226"/>
      <c r="L395" s="226"/>
    </row>
    <row r="396" s="216" customFormat="1" customHeight="1" spans="1:12">
      <c r="A396" s="227" t="s">
        <v>920</v>
      </c>
      <c r="B396" s="228"/>
      <c r="C396" s="229"/>
      <c r="D396" s="229"/>
      <c r="E396" s="228" t="s">
        <v>832</v>
      </c>
      <c r="F396" s="228"/>
      <c r="G396" s="227" t="s">
        <v>920</v>
      </c>
      <c r="H396" s="228"/>
      <c r="I396" s="229"/>
      <c r="J396" s="229"/>
      <c r="K396" s="228" t="s">
        <v>832</v>
      </c>
      <c r="L396" s="228"/>
    </row>
    <row r="397" s="216" customFormat="1" customHeight="1" spans="1:12">
      <c r="A397" s="232" t="s">
        <v>911</v>
      </c>
      <c r="B397" s="233"/>
      <c r="C397" s="234"/>
      <c r="D397" s="234"/>
      <c r="E397" s="234"/>
      <c r="F397" s="235"/>
      <c r="G397" s="232" t="s">
        <v>911</v>
      </c>
      <c r="H397" s="233"/>
      <c r="I397" s="234"/>
      <c r="J397" s="234"/>
      <c r="K397" s="234"/>
      <c r="L397" s="235"/>
    </row>
    <row r="398" s="216" customFormat="1" customHeight="1" spans="1:12">
      <c r="A398" s="7" t="s">
        <v>104</v>
      </c>
      <c r="B398" s="7" t="s">
        <v>835</v>
      </c>
      <c r="C398" s="7" t="s">
        <v>159</v>
      </c>
      <c r="D398" s="7" t="s">
        <v>422</v>
      </c>
      <c r="E398" s="7" t="s">
        <v>160</v>
      </c>
      <c r="F398" s="7" t="s">
        <v>18</v>
      </c>
      <c r="G398" s="7" t="s">
        <v>104</v>
      </c>
      <c r="H398" s="7" t="s">
        <v>835</v>
      </c>
      <c r="I398" s="7" t="s">
        <v>159</v>
      </c>
      <c r="J398" s="7" t="s">
        <v>422</v>
      </c>
      <c r="K398" s="7" t="s">
        <v>160</v>
      </c>
      <c r="L398" s="7" t="s">
        <v>18</v>
      </c>
    </row>
    <row r="399" s="216" customFormat="1" customHeight="1" spans="1:12">
      <c r="A399" s="7" t="s">
        <v>836</v>
      </c>
      <c r="B399" s="7" t="s">
        <v>837</v>
      </c>
      <c r="C399" s="7"/>
      <c r="D399" s="7"/>
      <c r="E399" s="7"/>
      <c r="F399" s="34">
        <f>F400+F413+F414</f>
        <v>255.052712038912</v>
      </c>
      <c r="G399" s="7" t="s">
        <v>836</v>
      </c>
      <c r="H399" s="7" t="s">
        <v>837</v>
      </c>
      <c r="I399" s="7"/>
      <c r="J399" s="7"/>
      <c r="K399" s="7"/>
      <c r="L399" s="34">
        <f>L400+L413+L414</f>
        <v>7737.77271203891</v>
      </c>
    </row>
    <row r="400" s="216" customFormat="1" customHeight="1" spans="1:12">
      <c r="A400" s="7" t="s">
        <v>539</v>
      </c>
      <c r="B400" s="7" t="s">
        <v>838</v>
      </c>
      <c r="C400" s="7"/>
      <c r="D400" s="7"/>
      <c r="E400" s="7"/>
      <c r="F400" s="34">
        <f>F401+F404+F407</f>
        <v>243.370908434077</v>
      </c>
      <c r="G400" s="7" t="s">
        <v>539</v>
      </c>
      <c r="H400" s="7" t="s">
        <v>838</v>
      </c>
      <c r="I400" s="7"/>
      <c r="J400" s="7"/>
      <c r="K400" s="7"/>
      <c r="L400" s="34">
        <f>L401+L404+L407</f>
        <v>7383.37090843408</v>
      </c>
    </row>
    <row r="401" s="216" customFormat="1" customHeight="1" spans="1:12">
      <c r="A401" s="7">
        <v>1</v>
      </c>
      <c r="B401" s="7" t="s">
        <v>839</v>
      </c>
      <c r="C401" s="7" t="s">
        <v>840</v>
      </c>
      <c r="D401" s="69"/>
      <c r="E401" s="69">
        <f>SUM(E402:E403)</f>
        <v>17.8</v>
      </c>
      <c r="F401" s="34">
        <f>SUM(F402:F403)</f>
        <v>102.706</v>
      </c>
      <c r="G401" s="7">
        <v>1</v>
      </c>
      <c r="H401" s="7" t="s">
        <v>839</v>
      </c>
      <c r="I401" s="7" t="s">
        <v>840</v>
      </c>
      <c r="J401" s="69"/>
      <c r="K401" s="69">
        <f>SUM(K402:K403)</f>
        <v>17.8</v>
      </c>
      <c r="L401" s="34">
        <f>SUM(L402:L403)</f>
        <v>102.706</v>
      </c>
    </row>
    <row r="402" s="216" customFormat="1" customHeight="1" spans="1:12">
      <c r="A402" s="7"/>
      <c r="B402" s="7" t="s">
        <v>841</v>
      </c>
      <c r="C402" s="7" t="s">
        <v>840</v>
      </c>
      <c r="D402" s="69">
        <f>D374</f>
        <v>8.1</v>
      </c>
      <c r="E402" s="69">
        <v>0</v>
      </c>
      <c r="F402" s="34">
        <f>D402*E402</f>
        <v>0</v>
      </c>
      <c r="G402" s="7"/>
      <c r="H402" s="7" t="s">
        <v>841</v>
      </c>
      <c r="I402" s="7" t="s">
        <v>840</v>
      </c>
      <c r="J402" s="69">
        <f>D402</f>
        <v>8.1</v>
      </c>
      <c r="K402" s="69">
        <v>0</v>
      </c>
      <c r="L402" s="34">
        <f>J402*K402</f>
        <v>0</v>
      </c>
    </row>
    <row r="403" s="216" customFormat="1" customHeight="1" spans="1:12">
      <c r="A403" s="7"/>
      <c r="B403" s="7" t="s">
        <v>842</v>
      </c>
      <c r="C403" s="7" t="s">
        <v>840</v>
      </c>
      <c r="D403" s="69">
        <f>D375</f>
        <v>5.77</v>
      </c>
      <c r="E403" s="69">
        <v>17.8</v>
      </c>
      <c r="F403" s="34">
        <f>D403*E403</f>
        <v>102.706</v>
      </c>
      <c r="G403" s="7"/>
      <c r="H403" s="7" t="s">
        <v>842</v>
      </c>
      <c r="I403" s="7" t="s">
        <v>840</v>
      </c>
      <c r="J403" s="69">
        <f>D403</f>
        <v>5.77</v>
      </c>
      <c r="K403" s="69">
        <v>17.8</v>
      </c>
      <c r="L403" s="34">
        <f>J403*K403</f>
        <v>102.706</v>
      </c>
    </row>
    <row r="404" s="216" customFormat="1" customHeight="1" spans="1:12">
      <c r="A404" s="7">
        <v>2</v>
      </c>
      <c r="B404" s="7" t="s">
        <v>912</v>
      </c>
      <c r="C404" s="9"/>
      <c r="D404" s="7"/>
      <c r="E404" s="7"/>
      <c r="F404" s="34">
        <f>F405+F406</f>
        <v>22.1246280394615</v>
      </c>
      <c r="G404" s="7">
        <v>2</v>
      </c>
      <c r="H404" s="7" t="s">
        <v>912</v>
      </c>
      <c r="I404" s="9"/>
      <c r="J404" s="7"/>
      <c r="K404" s="7"/>
      <c r="L404" s="34">
        <f>L405+L406</f>
        <v>7162.12462803946</v>
      </c>
    </row>
    <row r="405" s="216" customFormat="1" customHeight="1" spans="1:12">
      <c r="A405" s="7"/>
      <c r="B405" s="7"/>
      <c r="C405" s="9"/>
      <c r="D405" s="69"/>
      <c r="E405" s="69"/>
      <c r="F405" s="34"/>
      <c r="G405" s="7"/>
      <c r="H405" s="7" t="s">
        <v>374</v>
      </c>
      <c r="I405" s="256" t="s">
        <v>921</v>
      </c>
      <c r="J405" s="69">
        <v>70</v>
      </c>
      <c r="K405" s="69">
        <v>102</v>
      </c>
      <c r="L405" s="34">
        <f>J405*K405</f>
        <v>7140</v>
      </c>
    </row>
    <row r="406" s="216" customFormat="1" customHeight="1" spans="1:12">
      <c r="A406" s="7"/>
      <c r="B406" s="7" t="s">
        <v>844</v>
      </c>
      <c r="C406" s="9" t="s">
        <v>845</v>
      </c>
      <c r="D406" s="42">
        <f>F401+F407</f>
        <v>221.246280394615</v>
      </c>
      <c r="E406" s="7">
        <v>10</v>
      </c>
      <c r="F406" s="34">
        <f>E406*D406/100</f>
        <v>22.1246280394615</v>
      </c>
      <c r="G406" s="7"/>
      <c r="H406" s="7" t="s">
        <v>844</v>
      </c>
      <c r="I406" s="9" t="s">
        <v>845</v>
      </c>
      <c r="J406" s="42">
        <f>L401+L407</f>
        <v>221.246280394615</v>
      </c>
      <c r="K406" s="7">
        <v>10</v>
      </c>
      <c r="L406" s="34">
        <f>K406*J406/100</f>
        <v>22.1246280394615</v>
      </c>
    </row>
    <row r="407" s="216" customFormat="1" customHeight="1" spans="1:12">
      <c r="A407" s="7">
        <v>3</v>
      </c>
      <c r="B407" s="7" t="s">
        <v>859</v>
      </c>
      <c r="C407" s="7"/>
      <c r="D407" s="7"/>
      <c r="E407" s="7"/>
      <c r="F407" s="254">
        <f>SUM(F408:F412)</f>
        <v>118.540280394615</v>
      </c>
      <c r="G407" s="7">
        <v>3</v>
      </c>
      <c r="H407" s="7" t="s">
        <v>859</v>
      </c>
      <c r="I407" s="7"/>
      <c r="J407" s="7"/>
      <c r="K407" s="7"/>
      <c r="L407" s="254">
        <f>SUM(L408:L412)</f>
        <v>118.540280394615</v>
      </c>
    </row>
    <row r="408" s="216" customFormat="1" customHeight="1" spans="1:12">
      <c r="A408" s="7"/>
      <c r="B408" s="7" t="s">
        <v>914</v>
      </c>
      <c r="C408" s="7" t="s">
        <v>428</v>
      </c>
      <c r="D408" s="34">
        <f>D380</f>
        <v>68.4126713203031</v>
      </c>
      <c r="E408" s="7">
        <v>0.79</v>
      </c>
      <c r="F408" s="69">
        <f>D408*E408</f>
        <v>54.0460103430395</v>
      </c>
      <c r="G408" s="7"/>
      <c r="H408" s="7" t="s">
        <v>914</v>
      </c>
      <c r="I408" s="7" t="s">
        <v>428</v>
      </c>
      <c r="J408" s="34">
        <f>D408</f>
        <v>68.4126713203031</v>
      </c>
      <c r="K408" s="7">
        <v>0.79</v>
      </c>
      <c r="L408" s="69">
        <f t="shared" ref="L408:L410" si="29">J408*K408</f>
        <v>54.0460103430395</v>
      </c>
    </row>
    <row r="409" s="216" customFormat="1" customHeight="1" spans="1:12">
      <c r="A409" s="7"/>
      <c r="B409" s="7" t="s">
        <v>915</v>
      </c>
      <c r="C409" s="7" t="s">
        <v>428</v>
      </c>
      <c r="D409" s="34">
        <f>D381</f>
        <v>89.4423446350219</v>
      </c>
      <c r="E409" s="7">
        <v>0.5</v>
      </c>
      <c r="F409" s="69">
        <f>D409*E409</f>
        <v>44.721172317511</v>
      </c>
      <c r="G409" s="7"/>
      <c r="H409" s="7" t="s">
        <v>915</v>
      </c>
      <c r="I409" s="7" t="s">
        <v>428</v>
      </c>
      <c r="J409" s="34">
        <f>D409</f>
        <v>89.4423446350219</v>
      </c>
      <c r="K409" s="7">
        <v>0.5</v>
      </c>
      <c r="L409" s="69">
        <f t="shared" si="29"/>
        <v>44.721172317511</v>
      </c>
    </row>
    <row r="410" s="216" customFormat="1" customHeight="1" spans="1:12">
      <c r="A410" s="7"/>
      <c r="B410" s="7" t="s">
        <v>916</v>
      </c>
      <c r="C410" s="7" t="s">
        <v>428</v>
      </c>
      <c r="D410" s="34">
        <f>D382</f>
        <v>18.5994315915437</v>
      </c>
      <c r="E410" s="7">
        <v>1</v>
      </c>
      <c r="F410" s="69">
        <f>D410*E410</f>
        <v>18.5994315915437</v>
      </c>
      <c r="G410" s="7"/>
      <c r="H410" s="7" t="s">
        <v>916</v>
      </c>
      <c r="I410" s="7" t="s">
        <v>428</v>
      </c>
      <c r="J410" s="34">
        <f>D410</f>
        <v>18.5994315915437</v>
      </c>
      <c r="K410" s="7">
        <v>1</v>
      </c>
      <c r="L410" s="69">
        <f t="shared" si="29"/>
        <v>18.5994315915437</v>
      </c>
    </row>
    <row r="411" s="216" customFormat="1" customHeight="1" spans="1:12">
      <c r="A411" s="7"/>
      <c r="B411" s="7"/>
      <c r="C411" s="7"/>
      <c r="D411" s="34"/>
      <c r="E411" s="7"/>
      <c r="F411" s="69"/>
      <c r="G411" s="7"/>
      <c r="H411" s="7"/>
      <c r="I411" s="7"/>
      <c r="J411" s="34"/>
      <c r="K411" s="7"/>
      <c r="L411" s="69"/>
    </row>
    <row r="412" s="216" customFormat="1" customHeight="1" spans="1:12">
      <c r="A412" s="7"/>
      <c r="B412" s="7" t="s">
        <v>918</v>
      </c>
      <c r="C412" s="9" t="s">
        <v>845</v>
      </c>
      <c r="D412" s="250">
        <f>SUM(F408:F411)</f>
        <v>117.366614252094</v>
      </c>
      <c r="E412" s="7">
        <v>1</v>
      </c>
      <c r="F412" s="69">
        <f>D412*E412/100</f>
        <v>1.17366614252094</v>
      </c>
      <c r="G412" s="7"/>
      <c r="H412" s="7" t="s">
        <v>918</v>
      </c>
      <c r="I412" s="9" t="s">
        <v>845</v>
      </c>
      <c r="J412" s="250">
        <f>SUM(L408:L411)</f>
        <v>117.366614252094</v>
      </c>
      <c r="K412" s="7">
        <v>1</v>
      </c>
      <c r="L412" s="69">
        <f>J412*K412/100</f>
        <v>1.17366614252094</v>
      </c>
    </row>
    <row r="413" s="216" customFormat="1" customHeight="1" spans="1:12">
      <c r="A413" s="7" t="s">
        <v>564</v>
      </c>
      <c r="B413" s="7" t="s">
        <v>846</v>
      </c>
      <c r="C413" s="230">
        <f>取费表!$C$4</f>
        <v>0.048</v>
      </c>
      <c r="D413" s="250"/>
      <c r="E413" s="34">
        <f>F400</f>
        <v>243.370908434077</v>
      </c>
      <c r="F413" s="69">
        <f>E413*C413</f>
        <v>11.6818036048357</v>
      </c>
      <c r="G413" s="7" t="s">
        <v>564</v>
      </c>
      <c r="H413" s="7" t="s">
        <v>846</v>
      </c>
      <c r="I413" s="230">
        <f>取费表!$C$4</f>
        <v>0.048</v>
      </c>
      <c r="J413" s="250"/>
      <c r="K413" s="34">
        <f>L400</f>
        <v>7383.37090843408</v>
      </c>
      <c r="L413" s="69">
        <f t="shared" ref="L413:L416" si="30">K413*I413</f>
        <v>354.401803604836</v>
      </c>
    </row>
    <row r="414" s="216" customFormat="1" customHeight="1" spans="1:12">
      <c r="A414" s="7"/>
      <c r="B414" s="7"/>
      <c r="C414" s="230"/>
      <c r="D414" s="250"/>
      <c r="E414" s="34"/>
      <c r="F414" s="69"/>
      <c r="G414" s="7"/>
      <c r="H414" s="7"/>
      <c r="I414" s="230"/>
      <c r="J414" s="250"/>
      <c r="K414" s="34"/>
      <c r="L414" s="69"/>
    </row>
    <row r="415" s="216" customFormat="1" customHeight="1" spans="1:12">
      <c r="A415" s="7" t="s">
        <v>439</v>
      </c>
      <c r="B415" s="7" t="s">
        <v>847</v>
      </c>
      <c r="C415" s="230">
        <f>取费表!$E$4</f>
        <v>0.04</v>
      </c>
      <c r="D415" s="250"/>
      <c r="E415" s="34">
        <f>F399</f>
        <v>255.052712038912</v>
      </c>
      <c r="F415" s="69">
        <f>E415*C415</f>
        <v>10.2021084815565</v>
      </c>
      <c r="G415" s="7" t="s">
        <v>439</v>
      </c>
      <c r="H415" s="7" t="s">
        <v>847</v>
      </c>
      <c r="I415" s="230">
        <f>取费表!$E$4</f>
        <v>0.04</v>
      </c>
      <c r="J415" s="250"/>
      <c r="K415" s="34">
        <f>L399</f>
        <v>7737.77271203891</v>
      </c>
      <c r="L415" s="69">
        <f t="shared" si="30"/>
        <v>309.510908481556</v>
      </c>
    </row>
    <row r="416" s="216" customFormat="1" customHeight="1" spans="1:12">
      <c r="A416" s="7" t="s">
        <v>83</v>
      </c>
      <c r="B416" s="7" t="s">
        <v>848</v>
      </c>
      <c r="C416" s="230">
        <f>取费表!$F$4</f>
        <v>0.05</v>
      </c>
      <c r="D416" s="250"/>
      <c r="E416" s="34">
        <f>F415+F399</f>
        <v>265.254820520469</v>
      </c>
      <c r="F416" s="69">
        <f>E416*C416</f>
        <v>13.2627410260234</v>
      </c>
      <c r="G416" s="7" t="s">
        <v>83</v>
      </c>
      <c r="H416" s="7" t="s">
        <v>848</v>
      </c>
      <c r="I416" s="230">
        <f>取费表!$F$4</f>
        <v>0.05</v>
      </c>
      <c r="J416" s="250"/>
      <c r="K416" s="34">
        <f>L415+L399</f>
        <v>8047.28362052047</v>
      </c>
      <c r="L416" s="69">
        <f t="shared" si="30"/>
        <v>402.364181026024</v>
      </c>
    </row>
    <row r="417" s="216" customFormat="1" customHeight="1" spans="1:12">
      <c r="A417" s="7" t="s">
        <v>121</v>
      </c>
      <c r="B417" s="7" t="s">
        <v>861</v>
      </c>
      <c r="C417" s="9"/>
      <c r="D417" s="250"/>
      <c r="E417" s="34"/>
      <c r="F417" s="69">
        <f>F419</f>
        <v>60.09418</v>
      </c>
      <c r="G417" s="7" t="s">
        <v>121</v>
      </c>
      <c r="H417" s="7" t="s">
        <v>861</v>
      </c>
      <c r="I417" s="9"/>
      <c r="J417" s="250"/>
      <c r="K417" s="34"/>
      <c r="L417" s="69">
        <f>L418+L419</f>
        <v>-325.290518640778</v>
      </c>
    </row>
    <row r="418" s="216" customFormat="1" customHeight="1" spans="1:12">
      <c r="A418" s="7"/>
      <c r="B418" s="7"/>
      <c r="C418" s="9"/>
      <c r="D418" s="250"/>
      <c r="E418" s="34"/>
      <c r="F418" s="69"/>
      <c r="G418" s="7"/>
      <c r="H418" s="7" t="s">
        <v>374</v>
      </c>
      <c r="I418" s="256" t="s">
        <v>921</v>
      </c>
      <c r="J418" s="250">
        <f>材料预算价!K14-70</f>
        <v>-3.77828135922331</v>
      </c>
      <c r="K418" s="34">
        <f>K405</f>
        <v>102</v>
      </c>
      <c r="L418" s="69">
        <f>J418*K418</f>
        <v>-385.384698640778</v>
      </c>
    </row>
    <row r="419" s="216" customFormat="1" customHeight="1" spans="1:12">
      <c r="A419" s="7"/>
      <c r="B419" s="7" t="s">
        <v>862</v>
      </c>
      <c r="C419" s="9" t="s">
        <v>863</v>
      </c>
      <c r="D419" s="34">
        <f>D390</f>
        <v>4.58</v>
      </c>
      <c r="E419" s="34">
        <f>E408*台时!G14+新定额单价!E409*台时!E14</f>
        <v>13.121</v>
      </c>
      <c r="F419" s="69">
        <f>E419*D419</f>
        <v>60.09418</v>
      </c>
      <c r="G419" s="7"/>
      <c r="H419" s="7" t="s">
        <v>862</v>
      </c>
      <c r="I419" s="9" t="s">
        <v>863</v>
      </c>
      <c r="J419" s="34">
        <f>D419</f>
        <v>4.58</v>
      </c>
      <c r="K419" s="34">
        <f>K408*9.9+K409*10.6</f>
        <v>13.121</v>
      </c>
      <c r="L419" s="69">
        <f>K419*J419</f>
        <v>60.09418</v>
      </c>
    </row>
    <row r="420" s="216" customFormat="1" customHeight="1" spans="1:12">
      <c r="A420" s="7" t="s">
        <v>135</v>
      </c>
      <c r="B420" s="7" t="s">
        <v>849</v>
      </c>
      <c r="C420" s="231">
        <f>C391</f>
        <v>0.09</v>
      </c>
      <c r="D420" s="34"/>
      <c r="E420" s="38">
        <f>F417+F416+F415+F399</f>
        <v>338.611741546492</v>
      </c>
      <c r="F420" s="69">
        <f>E420*C420</f>
        <v>30.4750567391843</v>
      </c>
      <c r="G420" s="7" t="s">
        <v>135</v>
      </c>
      <c r="H420" s="7" t="s">
        <v>849</v>
      </c>
      <c r="I420" s="231">
        <f>C420</f>
        <v>0.09</v>
      </c>
      <c r="J420" s="34"/>
      <c r="K420" s="38">
        <f>L417+L416+L415+L399</f>
        <v>8124.35728290571</v>
      </c>
      <c r="L420" s="69">
        <f>K420*I420</f>
        <v>731.192155461514</v>
      </c>
    </row>
    <row r="421" s="216" customFormat="1" customHeight="1" spans="1:12">
      <c r="A421" s="7"/>
      <c r="B421" s="7" t="s">
        <v>850</v>
      </c>
      <c r="C421" s="231"/>
      <c r="D421" s="34"/>
      <c r="E421" s="38"/>
      <c r="F421" s="69">
        <f>(F399+F415+F416+F417+F420)*取费表!H4</f>
        <v>11.0726039485703</v>
      </c>
      <c r="G421" s="7"/>
      <c r="H421" s="7" t="s">
        <v>850</v>
      </c>
      <c r="I421" s="231"/>
      <c r="J421" s="34"/>
      <c r="K421" s="38"/>
      <c r="L421" s="69">
        <f>(L399+L415+L416+L417+L420)*取费表!H4</f>
        <v>265.666483151017</v>
      </c>
    </row>
    <row r="422" s="216" customFormat="1" customHeight="1" spans="1:12">
      <c r="A422" s="7"/>
      <c r="B422" s="7" t="s">
        <v>156</v>
      </c>
      <c r="C422" s="7"/>
      <c r="D422" s="7"/>
      <c r="E422" s="7"/>
      <c r="F422" s="69">
        <f>F420+F417+F416+F415+F399+F421</f>
        <v>380.159402234246</v>
      </c>
      <c r="G422" s="7"/>
      <c r="H422" s="7" t="s">
        <v>156</v>
      </c>
      <c r="I422" s="7"/>
      <c r="J422" s="7"/>
      <c r="K422" s="7"/>
      <c r="L422" s="69">
        <f>L420+L417+L416+L415+L399+L421</f>
        <v>9121.21592151824</v>
      </c>
    </row>
    <row r="423" s="216" customFormat="1" customHeight="1" spans="1:12">
      <c r="A423" s="8"/>
      <c r="B423" s="7"/>
      <c r="C423" s="9"/>
      <c r="D423" s="8"/>
      <c r="E423" s="246"/>
      <c r="F423" s="69"/>
      <c r="G423" s="8"/>
      <c r="H423" s="7"/>
      <c r="I423" s="9"/>
      <c r="J423" s="8"/>
      <c r="K423" s="246"/>
      <c r="L423" s="69"/>
    </row>
    <row r="424" s="216" customFormat="1" customHeight="1" spans="1:12">
      <c r="A424" s="8"/>
      <c r="B424" s="7"/>
      <c r="C424" s="9"/>
      <c r="D424" s="8"/>
      <c r="E424" s="246"/>
      <c r="F424" s="69"/>
      <c r="G424" s="8"/>
      <c r="H424" s="7"/>
      <c r="I424" s="9"/>
      <c r="J424" s="8"/>
      <c r="K424" s="246"/>
      <c r="L424" s="69"/>
    </row>
    <row r="425" s="216" customFormat="1" customHeight="1" spans="1:12">
      <c r="A425" s="8"/>
      <c r="B425" s="7"/>
      <c r="C425" s="9"/>
      <c r="D425" s="8"/>
      <c r="E425" s="246"/>
      <c r="F425" s="69"/>
      <c r="G425" s="8"/>
      <c r="H425" s="7"/>
      <c r="I425" s="9"/>
      <c r="J425" s="8"/>
      <c r="K425" s="246"/>
      <c r="L425" s="69"/>
    </row>
    <row r="426" s="216" customFormat="1" customHeight="1" spans="1:12">
      <c r="A426" s="8"/>
      <c r="B426" s="7"/>
      <c r="C426" s="9"/>
      <c r="D426" s="8"/>
      <c r="E426" s="246"/>
      <c r="F426" s="69"/>
      <c r="G426" s="8"/>
      <c r="H426" s="7"/>
      <c r="I426" s="9"/>
      <c r="J426" s="8"/>
      <c r="K426" s="246"/>
      <c r="L426" s="69"/>
    </row>
    <row r="427" s="216" customFormat="1" customHeight="1" spans="1:12">
      <c r="A427" s="8"/>
      <c r="B427" s="7"/>
      <c r="C427" s="9"/>
      <c r="D427" s="8"/>
      <c r="E427" s="246"/>
      <c r="F427" s="69"/>
      <c r="G427" s="8"/>
      <c r="H427" s="7"/>
      <c r="I427" s="9"/>
      <c r="J427" s="8"/>
      <c r="K427" s="246"/>
      <c r="L427" s="69"/>
    </row>
    <row r="428" s="216" customFormat="1" customHeight="1" spans="1:12">
      <c r="A428" s="8"/>
      <c r="B428" s="7"/>
      <c r="C428" s="9"/>
      <c r="D428" s="8"/>
      <c r="E428" s="246"/>
      <c r="F428" s="69"/>
      <c r="G428" s="8"/>
      <c r="H428" s="7"/>
      <c r="I428" s="9"/>
      <c r="J428" s="8"/>
      <c r="K428" s="246"/>
      <c r="L428" s="69"/>
    </row>
    <row r="429" s="216" customFormat="1" customHeight="1" spans="1:12">
      <c r="A429" s="8"/>
      <c r="B429" s="7"/>
      <c r="C429" s="9"/>
      <c r="D429" s="8"/>
      <c r="E429" s="246"/>
      <c r="F429" s="69"/>
      <c r="G429" s="8"/>
      <c r="H429" s="7"/>
      <c r="I429" s="9"/>
      <c r="J429" s="8"/>
      <c r="K429" s="246"/>
      <c r="L429" s="69"/>
    </row>
    <row r="430" s="216" customFormat="1" customHeight="1" spans="1:12">
      <c r="A430" s="8"/>
      <c r="B430" s="7"/>
      <c r="C430" s="9"/>
      <c r="D430" s="8"/>
      <c r="E430" s="246"/>
      <c r="F430" s="69"/>
      <c r="G430" s="8"/>
      <c r="H430" s="7"/>
      <c r="I430" s="9"/>
      <c r="J430" s="8"/>
      <c r="K430" s="246"/>
      <c r="L430" s="69"/>
    </row>
    <row r="431" s="216" customFormat="1" customHeight="1" spans="1:12">
      <c r="A431" s="8"/>
      <c r="B431" s="7"/>
      <c r="C431" s="9"/>
      <c r="D431" s="8"/>
      <c r="E431" s="246"/>
      <c r="F431" s="69"/>
      <c r="G431" s="8"/>
      <c r="H431" s="7"/>
      <c r="I431" s="9"/>
      <c r="J431" s="8"/>
      <c r="K431" s="246"/>
      <c r="L431" s="69"/>
    </row>
    <row r="432" s="216" customFormat="1" ht="16.9" customHeight="1" spans="1:6">
      <c r="A432" s="236" t="s">
        <v>828</v>
      </c>
      <c r="B432" s="236"/>
      <c r="C432" s="236"/>
      <c r="D432" s="236"/>
      <c r="E432" s="236"/>
      <c r="F432" s="236"/>
    </row>
    <row r="433" s="216" customFormat="1" ht="16.9" customHeight="1" spans="1:6">
      <c r="A433" s="226" t="s">
        <v>922</v>
      </c>
      <c r="B433" s="226"/>
      <c r="C433" s="226"/>
      <c r="D433" s="226"/>
      <c r="E433" s="226"/>
      <c r="F433" s="226"/>
    </row>
    <row r="434" s="216" customFormat="1" ht="16.9" customHeight="1" spans="1:6">
      <c r="A434" s="227" t="s">
        <v>923</v>
      </c>
      <c r="B434" s="228"/>
      <c r="C434" s="229"/>
      <c r="D434" s="229"/>
      <c r="E434" s="228" t="s">
        <v>832</v>
      </c>
      <c r="F434" s="228"/>
    </row>
    <row r="435" s="216" customFormat="1" ht="16.9" customHeight="1" spans="1:6">
      <c r="A435" s="232" t="s">
        <v>924</v>
      </c>
      <c r="B435" s="233"/>
      <c r="C435" s="234"/>
      <c r="D435" s="234"/>
      <c r="E435" s="234"/>
      <c r="F435" s="235"/>
    </row>
    <row r="436" s="216" customFormat="1" ht="16.9" customHeight="1" spans="1:6">
      <c r="A436" s="7" t="s">
        <v>104</v>
      </c>
      <c r="B436" s="7" t="s">
        <v>835</v>
      </c>
      <c r="C436" s="7" t="s">
        <v>159</v>
      </c>
      <c r="D436" s="7" t="s">
        <v>422</v>
      </c>
      <c r="E436" s="7" t="s">
        <v>160</v>
      </c>
      <c r="F436" s="7" t="s">
        <v>18</v>
      </c>
    </row>
    <row r="437" s="216" customFormat="1" ht="16.9" customHeight="1" spans="1:6">
      <c r="A437" s="7" t="s">
        <v>836</v>
      </c>
      <c r="B437" s="7" t="s">
        <v>837</v>
      </c>
      <c r="C437" s="7"/>
      <c r="D437" s="7"/>
      <c r="E437" s="7"/>
      <c r="F437" s="34">
        <f>F438+F445+F446</f>
        <v>1773.20636433602</v>
      </c>
    </row>
    <row r="438" s="216" customFormat="1" ht="16.9" customHeight="1" spans="1:6">
      <c r="A438" s="7" t="s">
        <v>539</v>
      </c>
      <c r="B438" s="7" t="s">
        <v>838</v>
      </c>
      <c r="C438" s="7"/>
      <c r="D438" s="7"/>
      <c r="E438" s="7"/>
      <c r="F438" s="34">
        <f>F439+F442+F444</f>
        <v>1691.99080566414</v>
      </c>
    </row>
    <row r="439" s="216" customFormat="1" ht="16.9" customHeight="1" spans="1:6">
      <c r="A439" s="7">
        <v>1</v>
      </c>
      <c r="B439" s="7" t="s">
        <v>839</v>
      </c>
      <c r="C439" s="7" t="s">
        <v>840</v>
      </c>
      <c r="D439" s="69"/>
      <c r="E439" s="69">
        <f>SUM(E440:E441)</f>
        <v>231</v>
      </c>
      <c r="F439" s="69">
        <f>SUM(F440:F441)</f>
        <v>1343.588</v>
      </c>
    </row>
    <row r="440" s="217" customFormat="1" ht="16.9" customHeight="1" spans="1:6">
      <c r="A440" s="7"/>
      <c r="B440" s="7" t="s">
        <v>841</v>
      </c>
      <c r="C440" s="7" t="s">
        <v>840</v>
      </c>
      <c r="D440" s="69">
        <f>D374</f>
        <v>8.1</v>
      </c>
      <c r="E440" s="69">
        <v>4.6</v>
      </c>
      <c r="F440" s="69">
        <f>D440*E440</f>
        <v>37.26</v>
      </c>
    </row>
    <row r="441" s="217" customFormat="1" ht="16.9" customHeight="1" spans="1:6">
      <c r="A441" s="7"/>
      <c r="B441" s="7" t="s">
        <v>842</v>
      </c>
      <c r="C441" s="7" t="s">
        <v>840</v>
      </c>
      <c r="D441" s="69">
        <f>D375</f>
        <v>5.77</v>
      </c>
      <c r="E441" s="69">
        <v>226.4</v>
      </c>
      <c r="F441" s="69">
        <f>D441*E441</f>
        <v>1306.328</v>
      </c>
    </row>
    <row r="442" s="216" customFormat="1" ht="16.9" customHeight="1" spans="1:6">
      <c r="A442" s="7">
        <v>2</v>
      </c>
      <c r="B442" s="7" t="s">
        <v>859</v>
      </c>
      <c r="C442" s="7"/>
      <c r="D442" s="7"/>
      <c r="E442" s="7"/>
      <c r="F442" s="69">
        <f>SUM(F443:F443)</f>
        <v>267.831814918229</v>
      </c>
    </row>
    <row r="443" s="216" customFormat="1" ht="16.9" customHeight="1" spans="1:6">
      <c r="A443" s="7"/>
      <c r="B443" s="7" t="s">
        <v>925</v>
      </c>
      <c r="C443" s="7" t="s">
        <v>428</v>
      </c>
      <c r="D443" s="69">
        <f>台时!H21</f>
        <v>18.5994315915437</v>
      </c>
      <c r="E443" s="7">
        <v>14.4</v>
      </c>
      <c r="F443" s="69">
        <f>D443*E443</f>
        <v>267.831814918229</v>
      </c>
    </row>
    <row r="444" s="216" customFormat="1" ht="16.9" customHeight="1" spans="1:6">
      <c r="A444" s="7">
        <v>3</v>
      </c>
      <c r="B444" s="7" t="s">
        <v>844</v>
      </c>
      <c r="C444" s="9" t="s">
        <v>845</v>
      </c>
      <c r="D444" s="34">
        <f>F439+F442</f>
        <v>1611.41981491823</v>
      </c>
      <c r="E444" s="7">
        <v>5</v>
      </c>
      <c r="F444" s="69">
        <f>D444*E444/100</f>
        <v>80.5709907459114</v>
      </c>
    </row>
    <row r="445" s="216" customFormat="1" ht="16.9" customHeight="1" spans="1:6">
      <c r="A445" s="7" t="s">
        <v>564</v>
      </c>
      <c r="B445" s="7" t="s">
        <v>846</v>
      </c>
      <c r="C445" s="230">
        <f>取费表!$C$4</f>
        <v>0.048</v>
      </c>
      <c r="D445" s="34"/>
      <c r="E445" s="34">
        <f>F438</f>
        <v>1691.99080566414</v>
      </c>
      <c r="F445" s="69">
        <f>E445*C445</f>
        <v>81.2155586718787</v>
      </c>
    </row>
    <row r="446" s="216" customFormat="1" ht="16.9" customHeight="1" spans="1:6">
      <c r="A446" s="7"/>
      <c r="B446" s="7"/>
      <c r="C446" s="230"/>
      <c r="D446" s="34"/>
      <c r="E446" s="34"/>
      <c r="F446" s="69"/>
    </row>
    <row r="447" s="216" customFormat="1" ht="16.9" customHeight="1" spans="1:6">
      <c r="A447" s="7" t="s">
        <v>439</v>
      </c>
      <c r="B447" s="7" t="s">
        <v>847</v>
      </c>
      <c r="C447" s="230">
        <f>取费表!$E$4</f>
        <v>0.04</v>
      </c>
      <c r="D447" s="34"/>
      <c r="E447" s="34">
        <f>F437</f>
        <v>1773.20636433602</v>
      </c>
      <c r="F447" s="69">
        <f>E447*C447</f>
        <v>70.9282545734408</v>
      </c>
    </row>
    <row r="448" s="216" customFormat="1" ht="16.9" customHeight="1" spans="1:6">
      <c r="A448" s="7" t="s">
        <v>83</v>
      </c>
      <c r="B448" s="7" t="s">
        <v>848</v>
      </c>
      <c r="C448" s="230">
        <f>取费表!$F$4</f>
        <v>0.05</v>
      </c>
      <c r="D448" s="34"/>
      <c r="E448" s="34">
        <f>F447+F437</f>
        <v>1844.13461890946</v>
      </c>
      <c r="F448" s="69">
        <f>E448*C448</f>
        <v>92.206730945473</v>
      </c>
    </row>
    <row r="449" s="216" customFormat="1" ht="16.9" customHeight="1" spans="1:6">
      <c r="A449" s="7" t="s">
        <v>121</v>
      </c>
      <c r="B449" s="7" t="s">
        <v>849</v>
      </c>
      <c r="C449" s="231">
        <f>C420</f>
        <v>0.09</v>
      </c>
      <c r="D449" s="7"/>
      <c r="E449" s="34">
        <f>F448+F447+F437</f>
        <v>1936.34134985493</v>
      </c>
      <c r="F449" s="69">
        <f>E449*C449</f>
        <v>174.270721486944</v>
      </c>
    </row>
    <row r="450" s="216" customFormat="1" ht="16.9" customHeight="1" spans="1:6">
      <c r="A450" s="7"/>
      <c r="B450" s="7" t="s">
        <v>850</v>
      </c>
      <c r="C450" s="231"/>
      <c r="D450" s="7"/>
      <c r="E450" s="34"/>
      <c r="F450" s="69">
        <f>(F437+F447+F448+F449)*取费表!H4</f>
        <v>63.3183621402563</v>
      </c>
    </row>
    <row r="451" s="216" customFormat="1" ht="16.9" customHeight="1" spans="1:6">
      <c r="A451" s="7"/>
      <c r="B451" s="7" t="s">
        <v>156</v>
      </c>
      <c r="C451" s="7"/>
      <c r="D451" s="7"/>
      <c r="E451" s="246"/>
      <c r="F451" s="69">
        <f>F449+F448+F447+F437+F450</f>
        <v>2173.93043348213</v>
      </c>
    </row>
    <row r="452" s="216" customFormat="1" ht="16.9" customHeight="1" spans="1:6">
      <c r="A452" s="224" t="s">
        <v>828</v>
      </c>
      <c r="B452" s="225"/>
      <c r="C452" s="225"/>
      <c r="D452" s="225"/>
      <c r="E452" s="225"/>
      <c r="F452" s="225"/>
    </row>
    <row r="453" s="216" customFormat="1" ht="16.9" customHeight="1" spans="1:6">
      <c r="A453" s="226" t="s">
        <v>662</v>
      </c>
      <c r="B453" s="226"/>
      <c r="C453" s="226"/>
      <c r="D453" s="226"/>
      <c r="E453" s="226"/>
      <c r="F453" s="226"/>
    </row>
    <row r="454" s="216" customFormat="1" ht="16.9" customHeight="1" spans="1:6">
      <c r="A454" s="227" t="s">
        <v>926</v>
      </c>
      <c r="B454" s="228"/>
      <c r="C454" s="229"/>
      <c r="D454" s="229"/>
      <c r="E454" s="228" t="s">
        <v>832</v>
      </c>
      <c r="F454" s="228"/>
    </row>
    <row r="455" s="216" customFormat="1" ht="16.9" customHeight="1" spans="1:6">
      <c r="A455" s="11" t="s">
        <v>834</v>
      </c>
      <c r="B455" s="7"/>
      <c r="C455" s="11"/>
      <c r="D455" s="11"/>
      <c r="E455" s="11"/>
      <c r="F455" s="11"/>
    </row>
    <row r="456" s="216" customFormat="1" ht="16.9" customHeight="1" spans="1:6">
      <c r="A456" s="7" t="s">
        <v>104</v>
      </c>
      <c r="B456" s="7" t="s">
        <v>835</v>
      </c>
      <c r="C456" s="7" t="s">
        <v>159</v>
      </c>
      <c r="D456" s="7" t="s">
        <v>422</v>
      </c>
      <c r="E456" s="7" t="s">
        <v>160</v>
      </c>
      <c r="F456" s="7" t="s">
        <v>18</v>
      </c>
    </row>
    <row r="457" s="216" customFormat="1" ht="16.9" customHeight="1" spans="1:6">
      <c r="A457" s="7" t="s">
        <v>836</v>
      </c>
      <c r="B457" s="7" t="s">
        <v>837</v>
      </c>
      <c r="C457" s="7"/>
      <c r="D457" s="7"/>
      <c r="E457" s="7"/>
      <c r="F457" s="34">
        <f>F458+F465</f>
        <v>554.807317429524</v>
      </c>
    </row>
    <row r="458" s="216" customFormat="1" ht="16.9" customHeight="1" spans="1:6">
      <c r="A458" s="7" t="s">
        <v>539</v>
      </c>
      <c r="B458" s="7" t="s">
        <v>838</v>
      </c>
      <c r="C458" s="7"/>
      <c r="D458" s="7"/>
      <c r="E458" s="7"/>
      <c r="F458" s="34">
        <f>F459+F462+F464</f>
        <v>529.39629525718</v>
      </c>
    </row>
    <row r="459" s="216" customFormat="1" ht="16.9" customHeight="1" spans="1:6">
      <c r="A459" s="7">
        <v>1</v>
      </c>
      <c r="B459" s="7" t="s">
        <v>839</v>
      </c>
      <c r="C459" s="7" t="s">
        <v>840</v>
      </c>
      <c r="D459" s="69"/>
      <c r="E459" s="42">
        <f>SUM(E460:E461)</f>
        <v>7.525</v>
      </c>
      <c r="F459" s="69">
        <f>SUM(F460:F461)</f>
        <v>43.41925</v>
      </c>
    </row>
    <row r="460" s="216" customFormat="1" ht="16.9" customHeight="1" spans="1:6">
      <c r="A460" s="7"/>
      <c r="B460" s="7" t="s">
        <v>841</v>
      </c>
      <c r="C460" s="7" t="s">
        <v>840</v>
      </c>
      <c r="D460" s="69">
        <f>D440</f>
        <v>8.1</v>
      </c>
      <c r="E460" s="42"/>
      <c r="F460" s="69">
        <f>D460*E460</f>
        <v>0</v>
      </c>
    </row>
    <row r="461" s="216" customFormat="1" ht="16.9" customHeight="1" spans="1:6">
      <c r="A461" s="7"/>
      <c r="B461" s="7" t="s">
        <v>842</v>
      </c>
      <c r="C461" s="7" t="s">
        <v>840</v>
      </c>
      <c r="D461" s="69">
        <f>D441</f>
        <v>5.77</v>
      </c>
      <c r="E461" s="42">
        <f>4.3*1.75</f>
        <v>7.525</v>
      </c>
      <c r="F461" s="69">
        <f>D461*E461</f>
        <v>43.41925</v>
      </c>
    </row>
    <row r="462" s="216" customFormat="1" ht="16.9" customHeight="1" spans="1:6">
      <c r="A462" s="7">
        <v>2</v>
      </c>
      <c r="B462" s="7" t="s">
        <v>843</v>
      </c>
      <c r="C462" s="7"/>
      <c r="D462" s="7"/>
      <c r="E462" s="7"/>
      <c r="F462" s="69">
        <f>F463</f>
        <v>443.381941041085</v>
      </c>
    </row>
    <row r="463" s="216" customFormat="1" ht="16.9" customHeight="1" spans="1:6">
      <c r="A463" s="7"/>
      <c r="B463" s="7" t="s">
        <v>927</v>
      </c>
      <c r="C463" s="7" t="s">
        <v>428</v>
      </c>
      <c r="D463" s="38">
        <f>台时!C21</f>
        <v>118.94887754288</v>
      </c>
      <c r="E463" s="7">
        <f>2.13*1.75</f>
        <v>3.7275</v>
      </c>
      <c r="F463" s="69">
        <f>D463*E463</f>
        <v>443.381941041085</v>
      </c>
    </row>
    <row r="464" s="216" customFormat="1" ht="16.9" customHeight="1" spans="1:6">
      <c r="A464" s="7">
        <v>3</v>
      </c>
      <c r="B464" s="7" t="s">
        <v>844</v>
      </c>
      <c r="C464" s="9" t="s">
        <v>845</v>
      </c>
      <c r="D464" s="34">
        <f>F459+F462</f>
        <v>486.801191041085</v>
      </c>
      <c r="E464" s="7">
        <f>5*1.75</f>
        <v>8.75</v>
      </c>
      <c r="F464" s="69">
        <f>D464*E464/100</f>
        <v>42.5951042160949</v>
      </c>
    </row>
    <row r="465" s="216" customFormat="1" ht="16.9" customHeight="1" spans="1:6">
      <c r="A465" s="7" t="s">
        <v>564</v>
      </c>
      <c r="B465" s="7" t="s">
        <v>846</v>
      </c>
      <c r="C465" s="230">
        <f>取费表!$C$4</f>
        <v>0.048</v>
      </c>
      <c r="D465" s="8"/>
      <c r="E465" s="34">
        <f>F459+F462+F464</f>
        <v>529.39629525718</v>
      </c>
      <c r="F465" s="69">
        <f>E465*C465</f>
        <v>25.4110221723446</v>
      </c>
    </row>
    <row r="466" s="216" customFormat="1" ht="16.9" customHeight="1" spans="1:6">
      <c r="A466" s="7" t="s">
        <v>439</v>
      </c>
      <c r="B466" s="7" t="s">
        <v>847</v>
      </c>
      <c r="C466" s="230">
        <f>取费表!$E$4</f>
        <v>0.04</v>
      </c>
      <c r="D466" s="8"/>
      <c r="E466" s="34">
        <f>F457</f>
        <v>554.807317429524</v>
      </c>
      <c r="F466" s="69">
        <f>E466*C466</f>
        <v>22.192292697181</v>
      </c>
    </row>
    <row r="467" s="216" customFormat="1" ht="16.9" customHeight="1" spans="1:6">
      <c r="A467" s="7" t="s">
        <v>83</v>
      </c>
      <c r="B467" s="7" t="s">
        <v>848</v>
      </c>
      <c r="C467" s="230">
        <f>取费表!$F$4</f>
        <v>0.05</v>
      </c>
      <c r="D467" s="8"/>
      <c r="E467" s="34">
        <f>F466+F457</f>
        <v>576.999610126705</v>
      </c>
      <c r="F467" s="69">
        <f>E467*C467</f>
        <v>28.8499805063353</v>
      </c>
    </row>
    <row r="468" s="216" customFormat="1" ht="16.9" customHeight="1" spans="1:6">
      <c r="A468" s="7"/>
      <c r="B468" s="7" t="s">
        <v>928</v>
      </c>
      <c r="C468" s="230" t="s">
        <v>863</v>
      </c>
      <c r="D468" s="7">
        <f>材料预算价!K11-材料预算价!L11</f>
        <v>4.58</v>
      </c>
      <c r="E468" s="34">
        <f>E463*台时!C14</f>
        <v>52.9305</v>
      </c>
      <c r="F468" s="69">
        <f>D468*E468</f>
        <v>242.42169</v>
      </c>
    </row>
    <row r="469" s="216" customFormat="1" ht="16.9" customHeight="1" spans="1:6">
      <c r="A469" s="7" t="s">
        <v>121</v>
      </c>
      <c r="B469" s="7" t="s">
        <v>849</v>
      </c>
      <c r="C469" s="231">
        <f>C449</f>
        <v>0.09</v>
      </c>
      <c r="D469" s="8"/>
      <c r="E469" s="34">
        <f>F467+F466+F457+F468</f>
        <v>848.27128063304</v>
      </c>
      <c r="F469" s="69">
        <f>E469*C469</f>
        <v>76.3444152569736</v>
      </c>
    </row>
    <row r="470" s="216" customFormat="1" ht="16.9" customHeight="1" spans="1:6">
      <c r="A470" s="7"/>
      <c r="B470" s="7" t="s">
        <v>850</v>
      </c>
      <c r="C470" s="231"/>
      <c r="D470" s="8"/>
      <c r="E470" s="34"/>
      <c r="F470" s="69">
        <f>(F457+F466+F467+F469+F468)*取费表!H12</f>
        <v>27.7384708767004</v>
      </c>
    </row>
    <row r="471" s="216" customFormat="1" ht="16.9" customHeight="1" spans="1:6">
      <c r="A471" s="7"/>
      <c r="B471" s="7"/>
      <c r="C471" s="231"/>
      <c r="D471" s="8"/>
      <c r="E471" s="34"/>
      <c r="F471" s="69"/>
    </row>
    <row r="472" s="216" customFormat="1" ht="16.9" customHeight="1" spans="1:6">
      <c r="A472" s="8"/>
      <c r="B472" s="7" t="s">
        <v>156</v>
      </c>
      <c r="C472" s="8"/>
      <c r="D472" s="8"/>
      <c r="E472" s="7"/>
      <c r="F472" s="69">
        <f>F457+F466+F467+F469+F470</f>
        <v>709.932476766714</v>
      </c>
    </row>
    <row r="473" ht="15.95" customHeight="1" spans="1:6">
      <c r="A473" s="236" t="s">
        <v>828</v>
      </c>
      <c r="B473" s="236"/>
      <c r="C473" s="236"/>
      <c r="D473" s="236"/>
      <c r="E473" s="236"/>
      <c r="F473" s="236"/>
    </row>
    <row r="474" ht="15.95" customHeight="1" spans="1:6">
      <c r="A474" s="239" t="s">
        <v>929</v>
      </c>
      <c r="B474" s="239"/>
      <c r="C474" s="239"/>
      <c r="D474" s="239"/>
      <c r="E474" s="239"/>
      <c r="F474" s="239"/>
    </row>
    <row r="475" ht="15.95" customHeight="1" spans="1:6">
      <c r="A475" s="227" t="s">
        <v>930</v>
      </c>
      <c r="B475" s="228"/>
      <c r="C475" s="229"/>
      <c r="D475" s="229"/>
      <c r="E475" s="228" t="s">
        <v>832</v>
      </c>
      <c r="F475" s="228"/>
    </row>
    <row r="476" ht="15.95" customHeight="1" spans="1:6">
      <c r="A476" s="146" t="s">
        <v>911</v>
      </c>
      <c r="B476" s="233"/>
      <c r="C476" s="233"/>
      <c r="D476" s="233"/>
      <c r="E476" s="233"/>
      <c r="F476" s="147"/>
    </row>
    <row r="477" ht="15.95" customHeight="1" spans="1:6">
      <c r="A477" s="7" t="s">
        <v>104</v>
      </c>
      <c r="B477" s="7" t="s">
        <v>835</v>
      </c>
      <c r="C477" s="7" t="s">
        <v>159</v>
      </c>
      <c r="D477" s="7" t="s">
        <v>422</v>
      </c>
      <c r="E477" s="7" t="s">
        <v>160</v>
      </c>
      <c r="F477" s="7" t="s">
        <v>18</v>
      </c>
    </row>
    <row r="478" ht="15.95" customHeight="1" spans="1:6">
      <c r="A478" s="7" t="s">
        <v>836</v>
      </c>
      <c r="B478" s="7" t="s">
        <v>837</v>
      </c>
      <c r="C478" s="7"/>
      <c r="D478" s="7"/>
      <c r="E478" s="7"/>
      <c r="F478" s="34">
        <f>F479+F489+F490</f>
        <v>768.741989973994</v>
      </c>
    </row>
    <row r="479" ht="15.95" customHeight="1" spans="1:6">
      <c r="A479" s="7" t="s">
        <v>539</v>
      </c>
      <c r="B479" s="7" t="s">
        <v>838</v>
      </c>
      <c r="C479" s="7"/>
      <c r="D479" s="7"/>
      <c r="E479" s="7"/>
      <c r="F479" s="34">
        <f>F480+F483+F484</f>
        <v>733.532433181292</v>
      </c>
    </row>
    <row r="480" ht="15.95" customHeight="1" spans="1:6">
      <c r="A480" s="7">
        <v>1</v>
      </c>
      <c r="B480" s="7" t="s">
        <v>839</v>
      </c>
      <c r="C480" s="7" t="s">
        <v>840</v>
      </c>
      <c r="D480" s="69"/>
      <c r="E480" s="69">
        <f>SUM(E481:E482)</f>
        <v>22</v>
      </c>
      <c r="F480" s="69">
        <f>SUM(F481:F482)</f>
        <v>126.94</v>
      </c>
    </row>
    <row r="481" s="217" customFormat="1" ht="15.95" customHeight="1" spans="1:6">
      <c r="A481" s="7"/>
      <c r="B481" s="7" t="s">
        <v>841</v>
      </c>
      <c r="C481" s="7" t="s">
        <v>840</v>
      </c>
      <c r="D481" s="69">
        <f>D440</f>
        <v>8.1</v>
      </c>
      <c r="E481" s="69">
        <v>0</v>
      </c>
      <c r="F481" s="69">
        <f t="shared" ref="F481:F488" si="31">D481*E481</f>
        <v>0</v>
      </c>
    </row>
    <row r="482" s="217" customFormat="1" ht="15.95" customHeight="1" spans="1:6">
      <c r="A482" s="7"/>
      <c r="B482" s="7" t="s">
        <v>842</v>
      </c>
      <c r="C482" s="7" t="s">
        <v>840</v>
      </c>
      <c r="D482" s="69">
        <f>D441</f>
        <v>5.77</v>
      </c>
      <c r="E482" s="69">
        <v>22</v>
      </c>
      <c r="F482" s="69">
        <f t="shared" si="31"/>
        <v>126.94</v>
      </c>
    </row>
    <row r="483" ht="15.95" customHeight="1" spans="1:6">
      <c r="A483" s="7">
        <v>2</v>
      </c>
      <c r="B483" s="7" t="s">
        <v>844</v>
      </c>
      <c r="C483" s="9" t="s">
        <v>845</v>
      </c>
      <c r="D483" s="34">
        <f>F480+F484</f>
        <v>698.602317315517</v>
      </c>
      <c r="E483" s="7">
        <v>5</v>
      </c>
      <c r="F483" s="69">
        <f>D483*E483/100</f>
        <v>34.9301158657758</v>
      </c>
    </row>
    <row r="484" ht="15.95" customHeight="1" spans="1:6">
      <c r="A484" s="7">
        <v>3</v>
      </c>
      <c r="B484" s="7" t="s">
        <v>859</v>
      </c>
      <c r="C484" s="7"/>
      <c r="D484" s="7"/>
      <c r="E484" s="7"/>
      <c r="F484" s="69">
        <f>SUM(F485:F488)</f>
        <v>571.662317315516</v>
      </c>
    </row>
    <row r="485" ht="15.95" customHeight="1" spans="1:6">
      <c r="A485" s="7"/>
      <c r="B485" s="7" t="s">
        <v>931</v>
      </c>
      <c r="C485" s="7" t="s">
        <v>428</v>
      </c>
      <c r="D485" s="69">
        <f>台时!C21</f>
        <v>118.94887754288</v>
      </c>
      <c r="E485" s="7">
        <v>0.63</v>
      </c>
      <c r="F485" s="69">
        <f t="shared" si="31"/>
        <v>74.9377928520144</v>
      </c>
    </row>
    <row r="486" ht="15.95" customHeight="1" spans="1:6">
      <c r="A486" s="7"/>
      <c r="B486" s="7" t="s">
        <v>860</v>
      </c>
      <c r="C486" s="7" t="s">
        <v>428</v>
      </c>
      <c r="D486" s="69">
        <f>台时!E21</f>
        <v>89.4423446350219</v>
      </c>
      <c r="E486" s="69">
        <v>3.9</v>
      </c>
      <c r="F486" s="69">
        <f t="shared" si="31"/>
        <v>348.825144076586</v>
      </c>
    </row>
    <row r="487" ht="15.95" customHeight="1" spans="1:6">
      <c r="A487" s="7"/>
      <c r="B487" s="7" t="s">
        <v>932</v>
      </c>
      <c r="C487" s="7" t="s">
        <v>428</v>
      </c>
      <c r="D487" s="69">
        <f>台时!G21</f>
        <v>68.4126713203031</v>
      </c>
      <c r="E487" s="7">
        <v>1.89</v>
      </c>
      <c r="F487" s="69">
        <f t="shared" si="31"/>
        <v>129.299948795373</v>
      </c>
    </row>
    <row r="488" ht="15.95" customHeight="1" spans="1:6">
      <c r="A488" s="7"/>
      <c r="B488" s="7" t="s">
        <v>916</v>
      </c>
      <c r="C488" s="7" t="s">
        <v>428</v>
      </c>
      <c r="D488" s="69">
        <f>D443</f>
        <v>18.5994315915437</v>
      </c>
      <c r="E488" s="7">
        <v>1</v>
      </c>
      <c r="F488" s="69">
        <f t="shared" si="31"/>
        <v>18.5994315915437</v>
      </c>
    </row>
    <row r="489" ht="15.95" customHeight="1" spans="1:6">
      <c r="A489" s="7" t="s">
        <v>564</v>
      </c>
      <c r="B489" s="7" t="s">
        <v>846</v>
      </c>
      <c r="C489" s="230">
        <f>取费表!$C$4</f>
        <v>0.048</v>
      </c>
      <c r="D489" s="69"/>
      <c r="E489" s="34">
        <f>F479</f>
        <v>733.532433181292</v>
      </c>
      <c r="F489" s="69">
        <f>E489*C489</f>
        <v>35.209556792702</v>
      </c>
    </row>
    <row r="490" ht="15.95" customHeight="1" spans="1:6">
      <c r="A490" s="7"/>
      <c r="B490" s="7"/>
      <c r="C490" s="230"/>
      <c r="D490" s="69"/>
      <c r="E490" s="34"/>
      <c r="F490" s="69"/>
    </row>
    <row r="491" ht="15.95" customHeight="1" spans="1:6">
      <c r="A491" s="7" t="s">
        <v>439</v>
      </c>
      <c r="B491" s="7" t="s">
        <v>847</v>
      </c>
      <c r="C491" s="230">
        <f>取费表!$E$4</f>
        <v>0.04</v>
      </c>
      <c r="D491" s="69"/>
      <c r="E491" s="34">
        <f>F478</f>
        <v>768.741989973994</v>
      </c>
      <c r="F491" s="69">
        <f>E491*C491</f>
        <v>30.7496795989598</v>
      </c>
    </row>
    <row r="492" ht="15.95" customHeight="1" spans="1:6">
      <c r="A492" s="7" t="s">
        <v>83</v>
      </c>
      <c r="B492" s="7" t="s">
        <v>848</v>
      </c>
      <c r="C492" s="230">
        <f>取费表!$F$4</f>
        <v>0.05</v>
      </c>
      <c r="D492" s="69"/>
      <c r="E492" s="34">
        <f>F491+F478</f>
        <v>799.491669572954</v>
      </c>
      <c r="F492" s="69">
        <f>E492*C492</f>
        <v>39.9745834786477</v>
      </c>
    </row>
    <row r="493" ht="15.95" customHeight="1" spans="1:6">
      <c r="A493" s="7" t="s">
        <v>121</v>
      </c>
      <c r="B493" s="7" t="s">
        <v>861</v>
      </c>
      <c r="C493" s="9"/>
      <c r="D493" s="69"/>
      <c r="E493" s="7"/>
      <c r="F493" s="69">
        <f>F494</f>
        <v>316.00626</v>
      </c>
    </row>
    <row r="494" ht="15.95" customHeight="1" spans="1:6">
      <c r="A494" s="7"/>
      <c r="B494" s="7" t="s">
        <v>862</v>
      </c>
      <c r="C494" s="9" t="s">
        <v>863</v>
      </c>
      <c r="D494" s="69">
        <f>材料预算价!K11-材料预算价!L11</f>
        <v>4.58</v>
      </c>
      <c r="E494" s="38">
        <f>E485*台时!C14+新定额单价!E486*台时!E14+新定额单价!E487*台时!G14</f>
        <v>68.997</v>
      </c>
      <c r="F494" s="69">
        <f>E494*D494</f>
        <v>316.00626</v>
      </c>
    </row>
    <row r="495" ht="15.95" customHeight="1" spans="1:6">
      <c r="A495" s="7" t="s">
        <v>135</v>
      </c>
      <c r="B495" s="7" t="s">
        <v>849</v>
      </c>
      <c r="C495" s="231">
        <f>C449</f>
        <v>0.09</v>
      </c>
      <c r="D495" s="69"/>
      <c r="E495" s="34">
        <f>F493+F492+F491+F478</f>
        <v>1155.4725130516</v>
      </c>
      <c r="F495" s="69">
        <f>E495*C495</f>
        <v>103.992526174644</v>
      </c>
    </row>
    <row r="496" ht="15.95" customHeight="1" spans="1:6">
      <c r="A496" s="7"/>
      <c r="B496" s="7" t="s">
        <v>850</v>
      </c>
      <c r="C496" s="231"/>
      <c r="D496" s="69"/>
      <c r="E496" s="34"/>
      <c r="F496" s="69">
        <f>(F478+F491+F492+F493+F495)*取费表!H4</f>
        <v>37.7839511767874</v>
      </c>
    </row>
    <row r="497" ht="15.95" customHeight="1" spans="1:6">
      <c r="A497" s="7"/>
      <c r="B497" s="7" t="s">
        <v>156</v>
      </c>
      <c r="C497" s="7"/>
      <c r="D497" s="69"/>
      <c r="E497" s="7"/>
      <c r="F497" s="69">
        <f>F495+F493+F492+F491+F478+F496</f>
        <v>1297.24899040303</v>
      </c>
    </row>
    <row r="498" ht="15.95" customHeight="1" spans="1:6">
      <c r="A498" s="240" t="s">
        <v>828</v>
      </c>
      <c r="B498" s="240"/>
      <c r="C498" s="240"/>
      <c r="D498" s="240"/>
      <c r="E498" s="240"/>
      <c r="F498" s="240"/>
    </row>
    <row r="499" ht="15.95" customHeight="1" spans="1:6">
      <c r="A499" s="226" t="s">
        <v>933</v>
      </c>
      <c r="B499" s="226"/>
      <c r="C499" s="226"/>
      <c r="D499" s="226"/>
      <c r="E499" s="226"/>
      <c r="F499" s="226"/>
    </row>
    <row r="500" ht="15.95" customHeight="1" spans="1:6">
      <c r="A500" s="227" t="s">
        <v>934</v>
      </c>
      <c r="B500" s="227"/>
      <c r="C500" s="229"/>
      <c r="D500" s="229"/>
      <c r="E500" s="228" t="s">
        <v>832</v>
      </c>
      <c r="F500" s="228"/>
    </row>
    <row r="501" ht="15.95" customHeight="1" spans="1:6">
      <c r="A501" s="232" t="s">
        <v>935</v>
      </c>
      <c r="B501" s="234"/>
      <c r="C501" s="234"/>
      <c r="D501" s="234"/>
      <c r="E501" s="234"/>
      <c r="F501" s="235"/>
    </row>
    <row r="502" ht="15.95" customHeight="1" spans="1:6">
      <c r="A502" s="7" t="s">
        <v>104</v>
      </c>
      <c r="B502" s="7" t="s">
        <v>835</v>
      </c>
      <c r="C502" s="7" t="s">
        <v>159</v>
      </c>
      <c r="D502" s="7" t="s">
        <v>422</v>
      </c>
      <c r="E502" s="7" t="s">
        <v>160</v>
      </c>
      <c r="F502" s="7" t="s">
        <v>18</v>
      </c>
    </row>
    <row r="503" ht="15.95" customHeight="1" spans="1:6">
      <c r="A503" s="7" t="s">
        <v>836</v>
      </c>
      <c r="B503" s="7" t="s">
        <v>837</v>
      </c>
      <c r="C503" s="7"/>
      <c r="D503" s="7"/>
      <c r="E503" s="7"/>
      <c r="F503" s="34">
        <f>F504+F509+F510</f>
        <v>106.0334436</v>
      </c>
    </row>
    <row r="504" ht="15.95" customHeight="1" spans="1:6">
      <c r="A504" s="7" t="s">
        <v>539</v>
      </c>
      <c r="B504" s="7" t="s">
        <v>838</v>
      </c>
      <c r="C504" s="7"/>
      <c r="D504" s="7"/>
      <c r="E504" s="7"/>
      <c r="F504" s="34">
        <f>F505+F508</f>
        <v>101.17695</v>
      </c>
    </row>
    <row r="505" ht="15.95" customHeight="1" spans="1:6">
      <c r="A505" s="7">
        <v>1</v>
      </c>
      <c r="B505" s="7" t="s">
        <v>839</v>
      </c>
      <c r="C505" s="7" t="s">
        <v>840</v>
      </c>
      <c r="D505" s="69"/>
      <c r="E505" s="69">
        <f>SUM(E506:E507)</f>
        <v>16.7</v>
      </c>
      <c r="F505" s="69">
        <f>SUM(F506:F507)</f>
        <v>96.359</v>
      </c>
    </row>
    <row r="506" ht="15.95" customHeight="1" spans="1:6">
      <c r="A506" s="7"/>
      <c r="B506" s="7" t="s">
        <v>841</v>
      </c>
      <c r="C506" s="7" t="s">
        <v>840</v>
      </c>
      <c r="D506" s="69">
        <f>D481</f>
        <v>8.1</v>
      </c>
      <c r="E506" s="69"/>
      <c r="F506" s="69">
        <f>D506*E506</f>
        <v>0</v>
      </c>
    </row>
    <row r="507" ht="15.95" customHeight="1" spans="1:6">
      <c r="A507" s="7"/>
      <c r="B507" s="7" t="s">
        <v>842</v>
      </c>
      <c r="C507" s="7" t="s">
        <v>840</v>
      </c>
      <c r="D507" s="69">
        <f>D482</f>
        <v>5.77</v>
      </c>
      <c r="E507" s="69">
        <v>16.7</v>
      </c>
      <c r="F507" s="69">
        <f>D507*E507</f>
        <v>96.359</v>
      </c>
    </row>
    <row r="508" ht="15.95" customHeight="1" spans="1:6">
      <c r="A508" s="7">
        <v>3</v>
      </c>
      <c r="B508" s="7" t="s">
        <v>844</v>
      </c>
      <c r="C508" s="9" t="s">
        <v>845</v>
      </c>
      <c r="D508" s="34">
        <f>F505</f>
        <v>96.359</v>
      </c>
      <c r="E508" s="7">
        <v>5</v>
      </c>
      <c r="F508" s="69">
        <f>D508*E508/100</f>
        <v>4.81795</v>
      </c>
    </row>
    <row r="509" ht="15.95" customHeight="1" spans="1:6">
      <c r="A509" s="7" t="s">
        <v>564</v>
      </c>
      <c r="B509" s="7" t="s">
        <v>846</v>
      </c>
      <c r="C509" s="231">
        <f>C489</f>
        <v>0.048</v>
      </c>
      <c r="D509" s="34"/>
      <c r="E509" s="34">
        <f>F504</f>
        <v>101.17695</v>
      </c>
      <c r="F509" s="69">
        <f>E509*C509</f>
        <v>4.8564936</v>
      </c>
    </row>
    <row r="510" ht="15.95" customHeight="1" spans="1:6">
      <c r="A510" s="7"/>
      <c r="B510" s="7"/>
      <c r="C510" s="257"/>
      <c r="D510" s="34"/>
      <c r="E510" s="34"/>
      <c r="F510" s="69"/>
    </row>
    <row r="511" ht="15.95" customHeight="1" spans="1:6">
      <c r="A511" s="7" t="s">
        <v>439</v>
      </c>
      <c r="B511" s="7" t="s">
        <v>847</v>
      </c>
      <c r="C511" s="231">
        <f>C491</f>
        <v>0.04</v>
      </c>
      <c r="D511" s="34"/>
      <c r="E511" s="34">
        <f>F503</f>
        <v>106.0334436</v>
      </c>
      <c r="F511" s="69">
        <f>E511*C511</f>
        <v>4.241337744</v>
      </c>
    </row>
    <row r="512" ht="15.95" customHeight="1" spans="1:6">
      <c r="A512" s="7" t="s">
        <v>83</v>
      </c>
      <c r="B512" s="7" t="s">
        <v>848</v>
      </c>
      <c r="C512" s="231">
        <f>C492</f>
        <v>0.05</v>
      </c>
      <c r="D512" s="34"/>
      <c r="E512" s="34">
        <f>F511+F503</f>
        <v>110.274781344</v>
      </c>
      <c r="F512" s="69">
        <f>E512*C512</f>
        <v>5.5137390672</v>
      </c>
    </row>
    <row r="513" ht="15.95" customHeight="1" spans="1:6">
      <c r="A513" s="7" t="s">
        <v>121</v>
      </c>
      <c r="B513" s="7" t="s">
        <v>849</v>
      </c>
      <c r="C513" s="231">
        <f>C495</f>
        <v>0.09</v>
      </c>
      <c r="D513" s="7"/>
      <c r="E513" s="34">
        <f>F512+F511+F503</f>
        <v>115.7885204112</v>
      </c>
      <c r="F513" s="69">
        <f>E513*C513</f>
        <v>10.420966837008</v>
      </c>
    </row>
    <row r="514" ht="15.95" customHeight="1" spans="1:6">
      <c r="A514" s="7"/>
      <c r="B514" s="7" t="s">
        <v>850</v>
      </c>
      <c r="C514" s="231"/>
      <c r="D514" s="7"/>
      <c r="E514" s="34"/>
      <c r="F514" s="69">
        <f>(F503+F511+F512+F513)*取费表!H4</f>
        <v>3.78628461744624</v>
      </c>
    </row>
    <row r="515" ht="15.95" customHeight="1" spans="1:6">
      <c r="A515" s="7"/>
      <c r="B515" s="7" t="s">
        <v>156</v>
      </c>
      <c r="C515" s="7"/>
      <c r="D515" s="7"/>
      <c r="E515" s="246"/>
      <c r="F515" s="69">
        <f>F513+F512+F511+F503+F514</f>
        <v>129.995771865654</v>
      </c>
    </row>
    <row r="516" ht="15.95" customHeight="1" spans="1:6">
      <c r="A516" s="236" t="s">
        <v>828</v>
      </c>
      <c r="B516" s="236"/>
      <c r="C516" s="236"/>
      <c r="D516" s="236"/>
      <c r="E516" s="236"/>
      <c r="F516" s="236"/>
    </row>
    <row r="517" ht="15.95" customHeight="1" spans="1:6">
      <c r="A517" s="239" t="s">
        <v>936</v>
      </c>
      <c r="B517" s="239"/>
      <c r="C517" s="239"/>
      <c r="D517" s="239"/>
      <c r="E517" s="239"/>
      <c r="F517" s="239"/>
    </row>
    <row r="518" ht="15.95" customHeight="1" spans="1:6">
      <c r="A518" s="227" t="s">
        <v>937</v>
      </c>
      <c r="B518" s="228"/>
      <c r="C518" s="229"/>
      <c r="D518" s="229"/>
      <c r="E518" s="228" t="s">
        <v>832</v>
      </c>
      <c r="F518" s="228"/>
    </row>
    <row r="519" ht="15.95" customHeight="1" spans="1:6">
      <c r="A519" s="146" t="s">
        <v>911</v>
      </c>
      <c r="B519" s="233"/>
      <c r="C519" s="233"/>
      <c r="D519" s="233"/>
      <c r="E519" s="233"/>
      <c r="F519" s="147"/>
    </row>
    <row r="520" ht="15.95" customHeight="1" spans="1:6">
      <c r="A520" s="7" t="s">
        <v>104</v>
      </c>
      <c r="B520" s="7" t="s">
        <v>835</v>
      </c>
      <c r="C520" s="7" t="s">
        <v>159</v>
      </c>
      <c r="D520" s="7" t="s">
        <v>422</v>
      </c>
      <c r="E520" s="7" t="s">
        <v>160</v>
      </c>
      <c r="F520" s="7" t="s">
        <v>18</v>
      </c>
    </row>
    <row r="521" ht="15.95" customHeight="1" spans="1:6">
      <c r="A521" s="7" t="s">
        <v>836</v>
      </c>
      <c r="B521" s="7" t="s">
        <v>837</v>
      </c>
      <c r="C521" s="7"/>
      <c r="D521" s="7"/>
      <c r="E521" s="7"/>
      <c r="F521" s="34">
        <f>F522+F533+F534</f>
        <v>930.156029184914</v>
      </c>
    </row>
    <row r="522" ht="15.95" customHeight="1" spans="1:6">
      <c r="A522" s="7" t="s">
        <v>539</v>
      </c>
      <c r="B522" s="7" t="s">
        <v>838</v>
      </c>
      <c r="C522" s="7"/>
      <c r="D522" s="7"/>
      <c r="E522" s="7"/>
      <c r="F522" s="34">
        <f>F523+F526+F527</f>
        <v>887.553462962704</v>
      </c>
    </row>
    <row r="523" ht="15.95" customHeight="1" spans="1:6">
      <c r="A523" s="7">
        <v>1</v>
      </c>
      <c r="B523" s="7" t="s">
        <v>839</v>
      </c>
      <c r="C523" s="7" t="s">
        <v>840</v>
      </c>
      <c r="D523" s="69"/>
      <c r="E523" s="69">
        <f>SUM(E524:E525)</f>
        <v>22</v>
      </c>
      <c r="F523" s="69">
        <f>SUM(F524:F525)</f>
        <v>126.94</v>
      </c>
    </row>
    <row r="524" ht="15.95" customHeight="1" spans="1:6">
      <c r="A524" s="7"/>
      <c r="B524" s="7" t="s">
        <v>841</v>
      </c>
      <c r="C524" s="7" t="s">
        <v>840</v>
      </c>
      <c r="D524" s="69">
        <f>D481</f>
        <v>8.1</v>
      </c>
      <c r="E524" s="69">
        <v>0</v>
      </c>
      <c r="F524" s="69">
        <f>D524*E524</f>
        <v>0</v>
      </c>
    </row>
    <row r="525" ht="15.95" customHeight="1" spans="1:6">
      <c r="A525" s="7"/>
      <c r="B525" s="7" t="s">
        <v>842</v>
      </c>
      <c r="C525" s="7" t="s">
        <v>840</v>
      </c>
      <c r="D525" s="69">
        <f>D482</f>
        <v>5.77</v>
      </c>
      <c r="E525" s="69">
        <v>22</v>
      </c>
      <c r="F525" s="69">
        <f>D525*E525</f>
        <v>126.94</v>
      </c>
    </row>
    <row r="526" ht="15.95" customHeight="1" spans="1:6">
      <c r="A526" s="7">
        <v>2</v>
      </c>
      <c r="B526" s="7" t="s">
        <v>844</v>
      </c>
      <c r="C526" s="9" t="s">
        <v>845</v>
      </c>
      <c r="D526" s="34">
        <f>F523+F527</f>
        <v>845.289012345433</v>
      </c>
      <c r="E526" s="7">
        <v>5</v>
      </c>
      <c r="F526" s="69">
        <f>D526*E526/100</f>
        <v>42.2644506172716</v>
      </c>
    </row>
    <row r="527" ht="15.95" customHeight="1" spans="1:6">
      <c r="A527" s="7">
        <v>3</v>
      </c>
      <c r="B527" s="7" t="s">
        <v>859</v>
      </c>
      <c r="C527" s="7"/>
      <c r="D527" s="7"/>
      <c r="E527" s="7"/>
      <c r="F527" s="69">
        <f>SUM(F528:F532)</f>
        <v>718.349012345433</v>
      </c>
    </row>
    <row r="528" ht="15.95" customHeight="1" spans="1:6">
      <c r="A528" s="7"/>
      <c r="B528" s="7" t="s">
        <v>931</v>
      </c>
      <c r="C528" s="7" t="s">
        <v>428</v>
      </c>
      <c r="D528" s="69">
        <f>D485</f>
        <v>118.94887754288</v>
      </c>
      <c r="E528" s="7">
        <v>1.69</v>
      </c>
      <c r="F528" s="69">
        <f>D528*E528</f>
        <v>201.023603047467</v>
      </c>
    </row>
    <row r="529" ht="15.95" customHeight="1" spans="1:6">
      <c r="A529" s="7"/>
      <c r="B529" s="7" t="s">
        <v>860</v>
      </c>
      <c r="C529" s="7" t="s">
        <v>428</v>
      </c>
      <c r="D529" s="69">
        <f>D486</f>
        <v>89.4423446350219</v>
      </c>
      <c r="E529" s="69">
        <v>2.77</v>
      </c>
      <c r="F529" s="69">
        <f>D529*E529</f>
        <v>247.755294639011</v>
      </c>
    </row>
    <row r="530" ht="15.95" customHeight="1" spans="1:6">
      <c r="A530" s="7"/>
      <c r="B530" s="7" t="s">
        <v>932</v>
      </c>
      <c r="C530" s="7" t="s">
        <v>428</v>
      </c>
      <c r="D530" s="69">
        <f>D487</f>
        <v>68.4126713203031</v>
      </c>
      <c r="E530" s="7">
        <v>1.89</v>
      </c>
      <c r="F530" s="69">
        <f>D530*E530</f>
        <v>129.299948795373</v>
      </c>
    </row>
    <row r="531" ht="15.95" customHeight="1" spans="1:6">
      <c r="A531" s="7"/>
      <c r="B531" s="7" t="s">
        <v>938</v>
      </c>
      <c r="C531" s="7" t="s">
        <v>428</v>
      </c>
      <c r="D531" s="69">
        <f>台时!D63</f>
        <v>51.9960402871959</v>
      </c>
      <c r="E531" s="7">
        <v>2.34</v>
      </c>
      <c r="F531" s="69">
        <f>D531*E531</f>
        <v>121.670734272038</v>
      </c>
    </row>
    <row r="532" ht="15.95" customHeight="1" spans="1:6">
      <c r="A532" s="7"/>
      <c r="B532" s="7" t="s">
        <v>916</v>
      </c>
      <c r="C532" s="7" t="s">
        <v>428</v>
      </c>
      <c r="D532" s="69">
        <f>D488</f>
        <v>18.5994315915437</v>
      </c>
      <c r="E532" s="7">
        <v>1</v>
      </c>
      <c r="F532" s="69">
        <f>D532*E532</f>
        <v>18.5994315915437</v>
      </c>
    </row>
    <row r="533" ht="15.95" customHeight="1" spans="1:6">
      <c r="A533" s="7" t="s">
        <v>564</v>
      </c>
      <c r="B533" s="7" t="s">
        <v>846</v>
      </c>
      <c r="C533" s="230">
        <f>取费表!$C$4</f>
        <v>0.048</v>
      </c>
      <c r="D533" s="69"/>
      <c r="E533" s="34">
        <f>F522</f>
        <v>887.553462962704</v>
      </c>
      <c r="F533" s="69">
        <f>E533*C533</f>
        <v>42.6025662222098</v>
      </c>
    </row>
    <row r="534" ht="15.95" customHeight="1" spans="1:6">
      <c r="A534" s="7"/>
      <c r="B534" s="7"/>
      <c r="C534" s="230"/>
      <c r="D534" s="69"/>
      <c r="E534" s="34"/>
      <c r="F534" s="69"/>
    </row>
    <row r="535" ht="15.95" customHeight="1" spans="1:6">
      <c r="A535" s="7" t="s">
        <v>439</v>
      </c>
      <c r="B535" s="7" t="s">
        <v>847</v>
      </c>
      <c r="C535" s="230">
        <f>取费表!$E$4</f>
        <v>0.04</v>
      </c>
      <c r="D535" s="69"/>
      <c r="E535" s="34">
        <f>F521</f>
        <v>930.156029184914</v>
      </c>
      <c r="F535" s="69">
        <f>E535*C535</f>
        <v>37.2062411673966</v>
      </c>
    </row>
    <row r="536" ht="15.95" customHeight="1" spans="1:6">
      <c r="A536" s="7" t="s">
        <v>83</v>
      </c>
      <c r="B536" s="7" t="s">
        <v>848</v>
      </c>
      <c r="C536" s="230">
        <f>取费表!$F$4</f>
        <v>0.05</v>
      </c>
      <c r="D536" s="69"/>
      <c r="E536" s="34">
        <f>F535+F521</f>
        <v>967.362270352311</v>
      </c>
      <c r="F536" s="69">
        <f>E536*C536</f>
        <v>48.3681135176155</v>
      </c>
    </row>
    <row r="537" ht="15.95" customHeight="1" spans="1:6">
      <c r="A537" s="7" t="s">
        <v>121</v>
      </c>
      <c r="B537" s="7" t="s">
        <v>861</v>
      </c>
      <c r="C537" s="9"/>
      <c r="D537" s="69"/>
      <c r="E537" s="7"/>
      <c r="F537" s="69">
        <f>F538</f>
        <v>427.6117</v>
      </c>
    </row>
    <row r="538" ht="15.95" customHeight="1" spans="1:6">
      <c r="A538" s="7"/>
      <c r="B538" s="7" t="s">
        <v>862</v>
      </c>
      <c r="C538" s="9" t="s">
        <v>863</v>
      </c>
      <c r="D538" s="69">
        <f>D494</f>
        <v>4.58</v>
      </c>
      <c r="E538" s="38">
        <f>E528*台时!C14+新定额单价!E529*台时!E14+新定额单价!E530*台时!G14+新定额单价!E531*台时!D56</f>
        <v>93.365</v>
      </c>
      <c r="F538" s="69">
        <f>E538*D538</f>
        <v>427.6117</v>
      </c>
    </row>
    <row r="539" ht="15.95" customHeight="1" spans="1:6">
      <c r="A539" s="7" t="s">
        <v>135</v>
      </c>
      <c r="B539" s="7" t="s">
        <v>849</v>
      </c>
      <c r="C539" s="231">
        <f>C495</f>
        <v>0.09</v>
      </c>
      <c r="D539" s="69"/>
      <c r="E539" s="34">
        <f>F537+F536+F535+F521</f>
        <v>1443.34208386993</v>
      </c>
      <c r="F539" s="69">
        <f>E539*C539</f>
        <v>129.900787548293</v>
      </c>
    </row>
    <row r="540" ht="15.95" customHeight="1" spans="1:6">
      <c r="A540" s="7"/>
      <c r="B540" s="7" t="s">
        <v>850</v>
      </c>
      <c r="C540" s="231"/>
      <c r="D540" s="69"/>
      <c r="E540" s="34"/>
      <c r="F540" s="69">
        <f>(F521+F535+F536+F537+F539)*取费表!H4</f>
        <v>47.1972861425466</v>
      </c>
    </row>
    <row r="541" ht="15.95" customHeight="1" spans="1:6">
      <c r="A541" s="7"/>
      <c r="B541" s="7" t="s">
        <v>156</v>
      </c>
      <c r="C541" s="7"/>
      <c r="D541" s="69"/>
      <c r="E541" s="7"/>
      <c r="F541" s="69">
        <f>F539+F537+F536+F535+F521+F540</f>
        <v>1620.44015756077</v>
      </c>
    </row>
    <row r="542" ht="15.95" customHeight="1" spans="1:6">
      <c r="A542" s="7"/>
      <c r="B542" s="7"/>
      <c r="C542" s="7"/>
      <c r="D542" s="7"/>
      <c r="E542" s="246"/>
      <c r="F542" s="69"/>
    </row>
    <row r="543" ht="15.95" customHeight="1" spans="1:6">
      <c r="A543" s="7"/>
      <c r="B543" s="7"/>
      <c r="C543" s="7"/>
      <c r="D543" s="7"/>
      <c r="E543" s="246"/>
      <c r="F543" s="69"/>
    </row>
    <row r="544" ht="15.95" customHeight="1" spans="1:6">
      <c r="A544" s="7"/>
      <c r="B544" s="7"/>
      <c r="C544" s="7"/>
      <c r="D544" s="7"/>
      <c r="E544" s="246"/>
      <c r="F544" s="69"/>
    </row>
    <row r="545" ht="15.95" customHeight="1" spans="1:6">
      <c r="A545" s="7"/>
      <c r="B545" s="7"/>
      <c r="C545" s="7"/>
      <c r="D545" s="7"/>
      <c r="E545" s="246"/>
      <c r="F545" s="69"/>
    </row>
    <row r="546" ht="15.95" customHeight="1" spans="1:6">
      <c r="A546" s="7"/>
      <c r="B546" s="7"/>
      <c r="C546" s="7"/>
      <c r="D546" s="7"/>
      <c r="E546" s="246"/>
      <c r="F546" s="69"/>
    </row>
    <row r="547" ht="15.95" customHeight="1" spans="1:6">
      <c r="A547" s="7"/>
      <c r="B547" s="7"/>
      <c r="C547" s="7"/>
      <c r="D547" s="7"/>
      <c r="E547" s="246"/>
      <c r="F547" s="69"/>
    </row>
    <row r="548" ht="15.95" customHeight="1" spans="1:6">
      <c r="A548" s="7"/>
      <c r="B548" s="7"/>
      <c r="C548" s="7"/>
      <c r="D548" s="7"/>
      <c r="E548" s="246"/>
      <c r="F548" s="69"/>
    </row>
    <row r="549" ht="15.95" customHeight="1" spans="1:6">
      <c r="A549" s="7"/>
      <c r="B549" s="7"/>
      <c r="C549" s="7"/>
      <c r="D549" s="7"/>
      <c r="E549" s="246"/>
      <c r="F549" s="69"/>
    </row>
    <row r="550" ht="15.95" customHeight="1" spans="1:6">
      <c r="A550" s="7"/>
      <c r="B550" s="7"/>
      <c r="C550" s="7"/>
      <c r="D550" s="7"/>
      <c r="E550" s="246"/>
      <c r="F550" s="69"/>
    </row>
    <row r="551" ht="15.95" customHeight="1" spans="1:6">
      <c r="A551" s="7"/>
      <c r="B551" s="7"/>
      <c r="C551" s="7"/>
      <c r="D551" s="7"/>
      <c r="E551" s="246"/>
      <c r="F551" s="69"/>
    </row>
    <row r="552" ht="15.95" customHeight="1" spans="1:6">
      <c r="A552" s="7"/>
      <c r="B552" s="7"/>
      <c r="C552" s="7"/>
      <c r="D552" s="7"/>
      <c r="E552" s="246"/>
      <c r="F552" s="69"/>
    </row>
    <row r="553" ht="15.95" customHeight="1" spans="1:6">
      <c r="A553" s="7"/>
      <c r="B553" s="7"/>
      <c r="C553" s="7"/>
      <c r="D553" s="7"/>
      <c r="E553" s="246"/>
      <c r="F553" s="69"/>
    </row>
    <row r="554" ht="15.95" customHeight="1" spans="1:6">
      <c r="A554" s="7"/>
      <c r="B554" s="7"/>
      <c r="C554" s="7"/>
      <c r="D554" s="7"/>
      <c r="E554" s="246"/>
      <c r="F554" s="69"/>
    </row>
    <row r="555" ht="15.95" customHeight="1" spans="1:6">
      <c r="A555" s="7"/>
      <c r="B555" s="7"/>
      <c r="C555" s="7"/>
      <c r="D555" s="7"/>
      <c r="E555" s="246"/>
      <c r="F555" s="69"/>
    </row>
    <row r="556" ht="15.95" customHeight="1" spans="1:6">
      <c r="A556" s="7"/>
      <c r="B556" s="7"/>
      <c r="C556" s="7"/>
      <c r="D556" s="7"/>
      <c r="E556" s="246"/>
      <c r="F556" s="69"/>
    </row>
    <row r="557" ht="15.95" customHeight="1" spans="1:6">
      <c r="A557" s="7"/>
      <c r="B557" s="7"/>
      <c r="C557" s="7"/>
      <c r="D557" s="7"/>
      <c r="E557" s="246"/>
      <c r="F557" s="69"/>
    </row>
    <row r="558" ht="15.95" customHeight="1" spans="1:6">
      <c r="A558" s="7"/>
      <c r="B558" s="7"/>
      <c r="C558" s="7"/>
      <c r="D558" s="7"/>
      <c r="E558" s="246"/>
      <c r="F558" s="69"/>
    </row>
    <row r="559" customHeight="1" spans="1:6">
      <c r="A559" s="236" t="s">
        <v>828</v>
      </c>
      <c r="B559" s="236"/>
      <c r="C559" s="236"/>
      <c r="D559" s="236"/>
      <c r="E559" s="236"/>
      <c r="F559" s="236"/>
    </row>
    <row r="560" customHeight="1" spans="1:6">
      <c r="A560" s="239" t="s">
        <v>939</v>
      </c>
      <c r="B560" s="239"/>
      <c r="C560" s="239"/>
      <c r="D560" s="239"/>
      <c r="E560" s="239"/>
      <c r="F560" s="239"/>
    </row>
    <row r="561" customHeight="1" spans="1:6">
      <c r="A561" s="227" t="s">
        <v>940</v>
      </c>
      <c r="B561" s="228"/>
      <c r="C561" s="229"/>
      <c r="D561" s="229"/>
      <c r="E561" s="228" t="s">
        <v>941</v>
      </c>
      <c r="F561" s="228"/>
    </row>
    <row r="562" customHeight="1" spans="1:6">
      <c r="A562" s="146" t="s">
        <v>911</v>
      </c>
      <c r="B562" s="233"/>
      <c r="C562" s="233"/>
      <c r="D562" s="233"/>
      <c r="E562" s="233"/>
      <c r="F562" s="147"/>
    </row>
    <row r="563" customHeight="1" spans="1:6">
      <c r="A563" s="7" t="s">
        <v>104</v>
      </c>
      <c r="B563" s="7" t="s">
        <v>835</v>
      </c>
      <c r="C563" s="7" t="s">
        <v>159</v>
      </c>
      <c r="D563" s="7" t="s">
        <v>422</v>
      </c>
      <c r="E563" s="7" t="s">
        <v>160</v>
      </c>
      <c r="F563" s="7" t="s">
        <v>18</v>
      </c>
    </row>
    <row r="564" customHeight="1" spans="1:6">
      <c r="A564" s="7" t="s">
        <v>836</v>
      </c>
      <c r="B564" s="7" t="s">
        <v>837</v>
      </c>
      <c r="C564" s="7"/>
      <c r="D564" s="7"/>
      <c r="E564" s="7"/>
      <c r="F564" s="34">
        <f>F565+F573+F574</f>
        <v>1603.07731252423</v>
      </c>
    </row>
    <row r="565" customHeight="1" spans="1:6">
      <c r="A565" s="7" t="s">
        <v>539</v>
      </c>
      <c r="B565" s="7" t="s">
        <v>838</v>
      </c>
      <c r="C565" s="7"/>
      <c r="D565" s="7"/>
      <c r="E565" s="7"/>
      <c r="F565" s="34">
        <f>F566+F569+F570</f>
        <v>1529.65392416434</v>
      </c>
    </row>
    <row r="566" customHeight="1" spans="1:6">
      <c r="A566" s="7">
        <v>1</v>
      </c>
      <c r="B566" s="7" t="s">
        <v>839</v>
      </c>
      <c r="C566" s="7" t="s">
        <v>840</v>
      </c>
      <c r="D566" s="69"/>
      <c r="E566" s="69">
        <f>SUM(E567:E568)</f>
        <v>46.9</v>
      </c>
      <c r="F566" s="69">
        <f>SUM(F567:F568)</f>
        <v>270.613</v>
      </c>
    </row>
    <row r="567" customHeight="1" spans="1:6">
      <c r="A567" s="7"/>
      <c r="B567" s="7" t="s">
        <v>841</v>
      </c>
      <c r="C567" s="7" t="s">
        <v>840</v>
      </c>
      <c r="D567" s="69">
        <f>D506</f>
        <v>8.1</v>
      </c>
      <c r="E567" s="69">
        <v>0</v>
      </c>
      <c r="F567" s="69">
        <f t="shared" ref="F567:F572" si="32">D567*E567</f>
        <v>0</v>
      </c>
    </row>
    <row r="568" customHeight="1" spans="1:6">
      <c r="A568" s="7"/>
      <c r="B568" s="7" t="s">
        <v>842</v>
      </c>
      <c r="C568" s="7" t="s">
        <v>840</v>
      </c>
      <c r="D568" s="69">
        <f>D507</f>
        <v>5.77</v>
      </c>
      <c r="E568" s="69">
        <v>46.9</v>
      </c>
      <c r="F568" s="69">
        <f t="shared" si="32"/>
        <v>270.613</v>
      </c>
    </row>
    <row r="569" customHeight="1" spans="1:6">
      <c r="A569" s="7">
        <v>2</v>
      </c>
      <c r="B569" s="7" t="s">
        <v>844</v>
      </c>
      <c r="C569" s="9" t="s">
        <v>845</v>
      </c>
      <c r="D569" s="34">
        <f>F566+F570</f>
        <v>1456.8132611089</v>
      </c>
      <c r="E569" s="7">
        <v>5</v>
      </c>
      <c r="F569" s="69">
        <f>D569*E569/100</f>
        <v>72.8406630554448</v>
      </c>
    </row>
    <row r="570" customHeight="1" spans="1:6">
      <c r="A570" s="7">
        <v>3</v>
      </c>
      <c r="B570" s="7" t="s">
        <v>859</v>
      </c>
      <c r="C570" s="7"/>
      <c r="D570" s="7"/>
      <c r="E570" s="7"/>
      <c r="F570" s="69">
        <f>SUM(F571:F572)</f>
        <v>1186.2002611089</v>
      </c>
    </row>
    <row r="571" customHeight="1" spans="1:6">
      <c r="A571" s="7"/>
      <c r="B571" s="7" t="s">
        <v>942</v>
      </c>
      <c r="C571" s="7" t="s">
        <v>428</v>
      </c>
      <c r="D571" s="69">
        <f>台时!F294</f>
        <v>251.419799361787</v>
      </c>
      <c r="E571" s="7">
        <v>3.48</v>
      </c>
      <c r="F571" s="69">
        <f t="shared" si="32"/>
        <v>874.940901779019</v>
      </c>
    </row>
    <row r="572" customHeight="1" spans="1:6">
      <c r="A572" s="7"/>
      <c r="B572" s="7" t="s">
        <v>860</v>
      </c>
      <c r="C572" s="7" t="s">
        <v>428</v>
      </c>
      <c r="D572" s="69">
        <f>D486</f>
        <v>89.4423446350219</v>
      </c>
      <c r="E572" s="69">
        <v>3.48</v>
      </c>
      <c r="F572" s="69">
        <f t="shared" si="32"/>
        <v>311.259359329876</v>
      </c>
    </row>
    <row r="573" customHeight="1" spans="1:6">
      <c r="A573" s="7" t="s">
        <v>564</v>
      </c>
      <c r="B573" s="7" t="s">
        <v>846</v>
      </c>
      <c r="C573" s="230">
        <f>取费表!$C$4</f>
        <v>0.048</v>
      </c>
      <c r="D573" s="69"/>
      <c r="E573" s="34">
        <f>F565</f>
        <v>1529.65392416434</v>
      </c>
      <c r="F573" s="69">
        <f>E573*C573</f>
        <v>73.4233883598883</v>
      </c>
    </row>
    <row r="574" customHeight="1" spans="1:6">
      <c r="A574" s="7"/>
      <c r="B574" s="7"/>
      <c r="C574" s="230"/>
      <c r="D574" s="69"/>
      <c r="E574" s="34"/>
      <c r="F574" s="69"/>
    </row>
    <row r="575" customHeight="1" spans="1:6">
      <c r="A575" s="7" t="s">
        <v>439</v>
      </c>
      <c r="B575" s="7" t="s">
        <v>847</v>
      </c>
      <c r="C575" s="230">
        <f>取费表!$E$4</f>
        <v>0.04</v>
      </c>
      <c r="D575" s="69"/>
      <c r="E575" s="34">
        <f>F564</f>
        <v>1603.07731252423</v>
      </c>
      <c r="F575" s="69">
        <f>E575*C575</f>
        <v>64.1230925009691</v>
      </c>
    </row>
    <row r="576" customHeight="1" spans="1:6">
      <c r="A576" s="7" t="s">
        <v>83</v>
      </c>
      <c r="B576" s="7" t="s">
        <v>848</v>
      </c>
      <c r="C576" s="230">
        <f>取费表!$F$4</f>
        <v>0.05</v>
      </c>
      <c r="D576" s="69"/>
      <c r="E576" s="34">
        <f>F575+F564</f>
        <v>1667.2004050252</v>
      </c>
      <c r="F576" s="69">
        <f>E576*C576</f>
        <v>83.3600202512599</v>
      </c>
    </row>
    <row r="577" customHeight="1" spans="1:6">
      <c r="A577" s="7" t="s">
        <v>121</v>
      </c>
      <c r="B577" s="7" t="s">
        <v>861</v>
      </c>
      <c r="C577" s="9"/>
      <c r="D577" s="69"/>
      <c r="E577" s="7"/>
      <c r="F577" s="69">
        <f>F578</f>
        <v>827.20296</v>
      </c>
    </row>
    <row r="578" customHeight="1" spans="1:6">
      <c r="A578" s="7"/>
      <c r="B578" s="7" t="s">
        <v>862</v>
      </c>
      <c r="C578" s="9" t="s">
        <v>863</v>
      </c>
      <c r="D578" s="69">
        <f>D494</f>
        <v>4.58</v>
      </c>
      <c r="E578" s="38">
        <f>E571*台时!F287+新定额单价!E572*44</f>
        <v>180.612</v>
      </c>
      <c r="F578" s="69">
        <f>E578*D578</f>
        <v>827.20296</v>
      </c>
    </row>
    <row r="579" customHeight="1" spans="1:7">
      <c r="A579" s="7" t="s">
        <v>135</v>
      </c>
      <c r="B579" s="7" t="s">
        <v>849</v>
      </c>
      <c r="C579" s="231">
        <f>C513</f>
        <v>0.09</v>
      </c>
      <c r="D579" s="69"/>
      <c r="E579" s="34">
        <f>F577+F576+F575+F564</f>
        <v>2577.76338527646</v>
      </c>
      <c r="F579" s="69">
        <f>E579*C579</f>
        <v>231.998704674881</v>
      </c>
      <c r="G579" s="258">
        <f>E579+F580+F579</f>
        <v>2894.05495264988</v>
      </c>
    </row>
    <row r="580" customHeight="1" spans="1:6">
      <c r="A580" s="7"/>
      <c r="B580" s="7" t="s">
        <v>850</v>
      </c>
      <c r="C580" s="231"/>
      <c r="D580" s="69"/>
      <c r="E580" s="34"/>
      <c r="F580" s="69">
        <f>(F564+F575+F576+F577+F579)*取费表!H4</f>
        <v>84.2928626985402</v>
      </c>
    </row>
    <row r="581" customHeight="1" spans="1:6">
      <c r="A581" s="7"/>
      <c r="B581" s="7" t="s">
        <v>156</v>
      </c>
      <c r="C581" s="7"/>
      <c r="D581" s="69"/>
      <c r="E581" s="7"/>
      <c r="F581" s="69">
        <f>F579+F577+F576+F575+F564+F580</f>
        <v>2894.05495264988</v>
      </c>
    </row>
    <row r="582" customHeight="1" spans="1:6">
      <c r="A582" s="7"/>
      <c r="B582" s="7"/>
      <c r="C582" s="7"/>
      <c r="D582" s="7"/>
      <c r="E582" s="246"/>
      <c r="F582" s="69"/>
    </row>
    <row r="583" customHeight="1" spans="1:6">
      <c r="A583" s="7"/>
      <c r="B583" s="7"/>
      <c r="C583" s="7"/>
      <c r="D583" s="7"/>
      <c r="E583" s="246"/>
      <c r="F583" s="69"/>
    </row>
    <row r="584" customHeight="1" spans="1:6">
      <c r="A584" s="7"/>
      <c r="B584" s="7"/>
      <c r="C584" s="7"/>
      <c r="D584" s="7"/>
      <c r="E584" s="246"/>
      <c r="F584" s="69"/>
    </row>
    <row r="585" customHeight="1" spans="1:6">
      <c r="A585" s="7"/>
      <c r="B585" s="7"/>
      <c r="C585" s="7"/>
      <c r="D585" s="7"/>
      <c r="E585" s="246"/>
      <c r="F585" s="69"/>
    </row>
    <row r="586" customHeight="1" spans="1:6">
      <c r="A586" s="7"/>
      <c r="B586" s="7"/>
      <c r="C586" s="7"/>
      <c r="D586" s="7"/>
      <c r="E586" s="246"/>
      <c r="F586" s="69"/>
    </row>
    <row r="587" customHeight="1" spans="1:6">
      <c r="A587" s="7"/>
      <c r="B587" s="7"/>
      <c r="C587" s="7"/>
      <c r="D587" s="7"/>
      <c r="E587" s="246"/>
      <c r="F587" s="69"/>
    </row>
    <row r="588" customHeight="1" spans="1:6">
      <c r="A588" s="7"/>
      <c r="B588" s="7"/>
      <c r="C588" s="7"/>
      <c r="D588" s="7"/>
      <c r="E588" s="246"/>
      <c r="F588" s="69"/>
    </row>
    <row r="589" customHeight="1" spans="1:6">
      <c r="A589" s="7"/>
      <c r="B589" s="7"/>
      <c r="C589" s="7"/>
      <c r="D589" s="7"/>
      <c r="E589" s="246"/>
      <c r="F589" s="69"/>
    </row>
    <row r="590" customHeight="1" spans="1:6">
      <c r="A590" s="7"/>
      <c r="B590" s="7"/>
      <c r="C590" s="7"/>
      <c r="D590" s="7"/>
      <c r="E590" s="246"/>
      <c r="F590" s="69"/>
    </row>
    <row r="591" customHeight="1" spans="1:6">
      <c r="A591" s="7"/>
      <c r="B591" s="7"/>
      <c r="C591" s="7"/>
      <c r="D591" s="7"/>
      <c r="E591" s="246"/>
      <c r="F591" s="69"/>
    </row>
    <row r="592" customHeight="1" spans="1:6">
      <c r="A592" s="7"/>
      <c r="B592" s="7"/>
      <c r="C592" s="7"/>
      <c r="D592" s="7"/>
      <c r="E592" s="246"/>
      <c r="F592" s="69"/>
    </row>
    <row r="593" customHeight="1" spans="1:6">
      <c r="A593" s="7"/>
      <c r="B593" s="7"/>
      <c r="C593" s="7"/>
      <c r="D593" s="7"/>
      <c r="E593" s="246"/>
      <c r="F593" s="69"/>
    </row>
    <row r="594" customHeight="1" spans="1:6">
      <c r="A594" s="7"/>
      <c r="B594" s="7"/>
      <c r="C594" s="7"/>
      <c r="D594" s="7"/>
      <c r="E594" s="246"/>
      <c r="F594" s="69"/>
    </row>
    <row r="595" ht="15.95" customHeight="1" spans="1:6">
      <c r="A595" s="7"/>
      <c r="B595" s="7"/>
      <c r="C595" s="7"/>
      <c r="D595" s="7"/>
      <c r="E595" s="246"/>
      <c r="F595" s="69"/>
    </row>
    <row r="596" ht="15.95" customHeight="1" spans="1:6">
      <c r="A596" s="7"/>
      <c r="B596" s="7"/>
      <c r="C596" s="7"/>
      <c r="D596" s="7"/>
      <c r="E596" s="246"/>
      <c r="F596" s="69"/>
    </row>
    <row r="597" customHeight="1" spans="1:6">
      <c r="A597" s="236" t="s">
        <v>943</v>
      </c>
      <c r="B597" s="236"/>
      <c r="C597" s="236"/>
      <c r="D597" s="236"/>
      <c r="E597" s="236"/>
      <c r="F597" s="236"/>
    </row>
    <row r="598" customHeight="1" spans="1:6">
      <c r="A598" s="259" t="s">
        <v>944</v>
      </c>
      <c r="B598" s="259"/>
      <c r="C598" s="259"/>
      <c r="D598" s="259"/>
      <c r="E598" s="259"/>
      <c r="F598" s="259"/>
    </row>
    <row r="599" customHeight="1" spans="1:6">
      <c r="A599" s="260" t="s">
        <v>945</v>
      </c>
      <c r="B599" s="260"/>
      <c r="C599" s="261"/>
      <c r="D599" s="261"/>
      <c r="E599" s="261" t="s">
        <v>946</v>
      </c>
      <c r="F599" s="261"/>
    </row>
    <row r="600" customHeight="1" spans="1:6">
      <c r="A600" s="262" t="s">
        <v>947</v>
      </c>
      <c r="B600" s="263"/>
      <c r="C600" s="263"/>
      <c r="D600" s="263"/>
      <c r="E600" s="263"/>
      <c r="F600" s="264"/>
    </row>
    <row r="601" customHeight="1" spans="1:6">
      <c r="A601" s="71" t="s">
        <v>104</v>
      </c>
      <c r="B601" s="71" t="s">
        <v>835</v>
      </c>
      <c r="C601" s="71" t="s">
        <v>159</v>
      </c>
      <c r="D601" s="71" t="s">
        <v>422</v>
      </c>
      <c r="E601" s="71" t="s">
        <v>160</v>
      </c>
      <c r="F601" s="71" t="s">
        <v>18</v>
      </c>
    </row>
    <row r="602" customHeight="1" spans="1:6">
      <c r="A602" s="71" t="s">
        <v>34</v>
      </c>
      <c r="B602" s="71" t="s">
        <v>837</v>
      </c>
      <c r="C602" s="71"/>
      <c r="D602" s="71"/>
      <c r="E602" s="71"/>
      <c r="F602" s="71">
        <f>F603+F616+F617</f>
        <v>1374.58391740591</v>
      </c>
    </row>
    <row r="603" customHeight="1" spans="1:6">
      <c r="A603" s="71" t="s">
        <v>539</v>
      </c>
      <c r="B603" s="71" t="s">
        <v>838</v>
      </c>
      <c r="C603" s="71"/>
      <c r="D603" s="71"/>
      <c r="E603" s="71"/>
      <c r="F603" s="71">
        <f>F604+F607+F613</f>
        <v>1311.62587538732</v>
      </c>
    </row>
    <row r="604" customHeight="1" spans="1:6">
      <c r="A604" s="7">
        <v>1</v>
      </c>
      <c r="B604" s="7" t="s">
        <v>839</v>
      </c>
      <c r="C604" s="7" t="s">
        <v>840</v>
      </c>
      <c r="D604" s="69"/>
      <c r="E604" s="69">
        <f>SUM(E605:E606)</f>
        <v>69.9</v>
      </c>
      <c r="F604" s="69">
        <f>SUM(F605:F606)</f>
        <v>431.749</v>
      </c>
    </row>
    <row r="605" customHeight="1" spans="1:6">
      <c r="A605" s="7"/>
      <c r="B605" s="7" t="s">
        <v>841</v>
      </c>
      <c r="C605" s="7" t="s">
        <v>840</v>
      </c>
      <c r="D605" s="69">
        <f>D567</f>
        <v>8.1</v>
      </c>
      <c r="E605" s="69">
        <v>12.2</v>
      </c>
      <c r="F605" s="69">
        <f t="shared" ref="F605:F612" si="33">D605*E605</f>
        <v>98.82</v>
      </c>
    </row>
    <row r="606" customHeight="1" spans="1:6">
      <c r="A606" s="7"/>
      <c r="B606" s="7" t="s">
        <v>842</v>
      </c>
      <c r="C606" s="7" t="s">
        <v>840</v>
      </c>
      <c r="D606" s="69">
        <f>D568</f>
        <v>5.77</v>
      </c>
      <c r="E606" s="69">
        <v>57.7</v>
      </c>
      <c r="F606" s="69">
        <f t="shared" si="33"/>
        <v>332.929</v>
      </c>
    </row>
    <row r="607" customHeight="1" spans="1:6">
      <c r="A607" s="265">
        <v>2</v>
      </c>
      <c r="B607" s="71" t="s">
        <v>912</v>
      </c>
      <c r="C607" s="266"/>
      <c r="D607" s="71"/>
      <c r="E607" s="267"/>
      <c r="F607" s="71">
        <f>SUM(F608:F612)</f>
        <v>734.8391</v>
      </c>
    </row>
    <row r="608" customHeight="1" spans="1:6">
      <c r="A608" s="265"/>
      <c r="B608" s="71" t="s">
        <v>948</v>
      </c>
      <c r="C608" s="71" t="s">
        <v>363</v>
      </c>
      <c r="D608" s="71">
        <v>260</v>
      </c>
      <c r="E608" s="71">
        <v>1.29</v>
      </c>
      <c r="F608" s="71">
        <f t="shared" si="33"/>
        <v>335.4</v>
      </c>
    </row>
    <row r="609" customHeight="1" spans="1:6">
      <c r="A609" s="265"/>
      <c r="B609" s="71" t="s">
        <v>949</v>
      </c>
      <c r="C609" s="71" t="s">
        <v>863</v>
      </c>
      <c r="D609" s="71">
        <v>5.15</v>
      </c>
      <c r="E609" s="71">
        <v>28.3</v>
      </c>
      <c r="F609" s="71">
        <f t="shared" si="33"/>
        <v>145.745</v>
      </c>
    </row>
    <row r="610" customHeight="1" spans="1:6">
      <c r="A610" s="265"/>
      <c r="B610" s="71" t="s">
        <v>950</v>
      </c>
      <c r="C610" s="71" t="s">
        <v>363</v>
      </c>
      <c r="D610" s="71">
        <v>1.5</v>
      </c>
      <c r="E610" s="71">
        <v>25.5</v>
      </c>
      <c r="F610" s="71">
        <f t="shared" si="33"/>
        <v>38.25</v>
      </c>
    </row>
    <row r="611" customHeight="1" spans="1:6">
      <c r="A611" s="265"/>
      <c r="B611" s="71" t="s">
        <v>951</v>
      </c>
      <c r="C611" s="71" t="s">
        <v>167</v>
      </c>
      <c r="D611" s="71">
        <v>1.5</v>
      </c>
      <c r="E611" s="71">
        <v>68.9</v>
      </c>
      <c r="F611" s="71">
        <f t="shared" si="33"/>
        <v>103.35</v>
      </c>
    </row>
    <row r="612" customHeight="1" spans="1:6">
      <c r="A612" s="265"/>
      <c r="B612" s="71" t="s">
        <v>952</v>
      </c>
      <c r="C612" s="266" t="s">
        <v>845</v>
      </c>
      <c r="D612" s="71">
        <f>SUM(F608:F611)</f>
        <v>622.745</v>
      </c>
      <c r="E612" s="267">
        <v>0.18</v>
      </c>
      <c r="F612" s="71">
        <f t="shared" si="33"/>
        <v>112.0941</v>
      </c>
    </row>
    <row r="613" customHeight="1" spans="1:6">
      <c r="A613" s="265">
        <v>3</v>
      </c>
      <c r="B613" s="71" t="s">
        <v>859</v>
      </c>
      <c r="C613" s="71"/>
      <c r="D613" s="71"/>
      <c r="E613" s="71"/>
      <c r="F613" s="71">
        <f>F614+F615</f>
        <v>145.037775387315</v>
      </c>
    </row>
    <row r="614" customHeight="1" spans="1:6">
      <c r="A614" s="265"/>
      <c r="B614" s="71" t="s">
        <v>953</v>
      </c>
      <c r="C614" s="71" t="s">
        <v>428</v>
      </c>
      <c r="D614" s="71">
        <f>台时!D126</f>
        <v>23.0915101715197</v>
      </c>
      <c r="E614" s="71">
        <v>5.71</v>
      </c>
      <c r="F614" s="71">
        <f>D614*E614</f>
        <v>131.852523079378</v>
      </c>
    </row>
    <row r="615" customHeight="1" spans="1:6">
      <c r="A615" s="265"/>
      <c r="B615" s="71" t="s">
        <v>952</v>
      </c>
      <c r="C615" s="266" t="s">
        <v>845</v>
      </c>
      <c r="D615" s="71">
        <f>F614</f>
        <v>131.852523079378</v>
      </c>
      <c r="E615" s="267">
        <v>0.1</v>
      </c>
      <c r="F615" s="71">
        <f>D615*E615</f>
        <v>13.1852523079378</v>
      </c>
    </row>
    <row r="616" customHeight="1" spans="1:6">
      <c r="A616" s="71" t="s">
        <v>564</v>
      </c>
      <c r="B616" s="71" t="s">
        <v>846</v>
      </c>
      <c r="C616" s="267">
        <f>取费表!C5</f>
        <v>0.048</v>
      </c>
      <c r="D616" s="71"/>
      <c r="E616" s="74">
        <f>F603</f>
        <v>1311.62587538732</v>
      </c>
      <c r="F616" s="71">
        <f>E616*C616</f>
        <v>62.9580420185911</v>
      </c>
    </row>
    <row r="617" customHeight="1" spans="1:6">
      <c r="A617" s="71"/>
      <c r="B617" s="71"/>
      <c r="C617" s="267"/>
      <c r="D617" s="71"/>
      <c r="E617" s="74"/>
      <c r="F617" s="71"/>
    </row>
    <row r="618" customHeight="1" spans="1:6">
      <c r="A618" s="71" t="s">
        <v>439</v>
      </c>
      <c r="B618" s="71" t="s">
        <v>847</v>
      </c>
      <c r="C618" s="267">
        <f>取费表!E5</f>
        <v>0.085</v>
      </c>
      <c r="D618" s="71"/>
      <c r="E618" s="74">
        <f>F603+F616+F617</f>
        <v>1374.58391740591</v>
      </c>
      <c r="F618" s="71">
        <f>E618*C618</f>
        <v>116.839632979502</v>
      </c>
    </row>
    <row r="619" customHeight="1" spans="1:6">
      <c r="A619" s="71" t="s">
        <v>83</v>
      </c>
      <c r="B619" s="71" t="s">
        <v>848</v>
      </c>
      <c r="C619" s="267">
        <f>取费表!F5</f>
        <v>0.05</v>
      </c>
      <c r="D619" s="71"/>
      <c r="E619" s="74">
        <f>F602+F618</f>
        <v>1491.42355038541</v>
      </c>
      <c r="F619" s="71">
        <f>E619*C619</f>
        <v>74.5711775192704</v>
      </c>
    </row>
    <row r="620" customHeight="1" spans="1:6">
      <c r="A620" s="71"/>
      <c r="B620" s="71" t="s">
        <v>949</v>
      </c>
      <c r="C620" s="71" t="s">
        <v>863</v>
      </c>
      <c r="D620" s="71">
        <f>15/(1+17%)-D609</f>
        <v>7.67051282051282</v>
      </c>
      <c r="E620" s="71">
        <v>28.3</v>
      </c>
      <c r="F620" s="71">
        <f>D620*E620</f>
        <v>217.075512820513</v>
      </c>
    </row>
    <row r="621" customHeight="1" spans="1:6">
      <c r="A621" s="71" t="s">
        <v>135</v>
      </c>
      <c r="B621" s="71" t="s">
        <v>849</v>
      </c>
      <c r="C621" s="267">
        <f>取费表!G5</f>
        <v>0.09</v>
      </c>
      <c r="D621" s="71"/>
      <c r="E621" s="74">
        <f>F602+F618+F619+F620</f>
        <v>1783.07024072519</v>
      </c>
      <c r="F621" s="71">
        <f>E621*C621</f>
        <v>160.476321665267</v>
      </c>
    </row>
    <row r="622" customHeight="1" spans="1:6">
      <c r="A622" s="71"/>
      <c r="B622" s="71" t="s">
        <v>954</v>
      </c>
      <c r="C622" s="71"/>
      <c r="D622" s="71"/>
      <c r="E622" s="71"/>
      <c r="F622" s="71">
        <f>(E621+F621)*取费表!H5</f>
        <v>58.3063968717137</v>
      </c>
    </row>
    <row r="623" customHeight="1" spans="1:6">
      <c r="A623" s="7"/>
      <c r="B623" s="7" t="s">
        <v>156</v>
      </c>
      <c r="C623" s="7"/>
      <c r="D623" s="7"/>
      <c r="E623" s="246"/>
      <c r="F623" s="69">
        <f>E621+F621+F622</f>
        <v>2001.85295926217</v>
      </c>
    </row>
    <row r="624" customHeight="1" spans="1:6">
      <c r="A624" s="7"/>
      <c r="B624" s="7"/>
      <c r="C624" s="7"/>
      <c r="D624" s="7"/>
      <c r="E624" s="246"/>
      <c r="F624" s="69"/>
    </row>
    <row r="625" customHeight="1" spans="1:6">
      <c r="A625" s="7"/>
      <c r="B625" s="7"/>
      <c r="C625" s="7"/>
      <c r="D625" s="7"/>
      <c r="E625" s="246"/>
      <c r="F625" s="69"/>
    </row>
    <row r="626" customHeight="1" spans="1:6">
      <c r="A626" s="7"/>
      <c r="B626" s="7"/>
      <c r="C626" s="7"/>
      <c r="D626" s="7"/>
      <c r="E626" s="246"/>
      <c r="F626" s="69"/>
    </row>
    <row r="627" customHeight="1" spans="1:6">
      <c r="A627" s="7"/>
      <c r="B627" s="7"/>
      <c r="C627" s="7"/>
      <c r="D627" s="7"/>
      <c r="E627" s="246"/>
      <c r="F627" s="69"/>
    </row>
    <row r="628" customHeight="1" spans="1:6">
      <c r="A628" s="7"/>
      <c r="B628" s="7"/>
      <c r="C628" s="7"/>
      <c r="D628" s="7"/>
      <c r="E628" s="246"/>
      <c r="F628" s="69"/>
    </row>
    <row r="629" customHeight="1" spans="1:6">
      <c r="A629" s="7"/>
      <c r="B629" s="7"/>
      <c r="C629" s="7"/>
      <c r="D629" s="7"/>
      <c r="E629" s="246"/>
      <c r="F629" s="69"/>
    </row>
    <row r="630" customHeight="1" spans="1:6">
      <c r="A630" s="7"/>
      <c r="B630" s="7"/>
      <c r="C630" s="7"/>
      <c r="D630" s="7"/>
      <c r="E630" s="246"/>
      <c r="F630" s="69"/>
    </row>
    <row r="631" customHeight="1" spans="1:6">
      <c r="A631" s="7"/>
      <c r="B631" s="7"/>
      <c r="C631" s="7"/>
      <c r="D631" s="7"/>
      <c r="E631" s="246"/>
      <c r="F631" s="69"/>
    </row>
    <row r="632" customHeight="1" spans="1:6">
      <c r="A632" s="7"/>
      <c r="B632" s="7"/>
      <c r="C632" s="7"/>
      <c r="D632" s="7"/>
      <c r="E632" s="246"/>
      <c r="F632" s="69"/>
    </row>
    <row r="633" customHeight="1" spans="1:6">
      <c r="A633" s="7"/>
      <c r="B633" s="7"/>
      <c r="C633" s="7"/>
      <c r="D633" s="7"/>
      <c r="E633" s="246"/>
      <c r="F633" s="69"/>
    </row>
    <row r="634" customHeight="1" spans="1:6">
      <c r="A634" s="7"/>
      <c r="B634" s="7"/>
      <c r="C634" s="7"/>
      <c r="D634" s="7"/>
      <c r="E634" s="246"/>
      <c r="F634" s="69"/>
    </row>
    <row r="635" customHeight="1" spans="1:18">
      <c r="A635" s="236" t="s">
        <v>828</v>
      </c>
      <c r="B635" s="236"/>
      <c r="C635" s="236"/>
      <c r="D635" s="236"/>
      <c r="E635" s="236"/>
      <c r="F635" s="236"/>
      <c r="G635" s="236" t="s">
        <v>828</v>
      </c>
      <c r="H635" s="236"/>
      <c r="I635" s="236"/>
      <c r="J635" s="236"/>
      <c r="K635" s="236"/>
      <c r="L635" s="236"/>
      <c r="M635" s="236" t="s">
        <v>828</v>
      </c>
      <c r="N635" s="236"/>
      <c r="O635" s="236"/>
      <c r="P635" s="236"/>
      <c r="Q635" s="236"/>
      <c r="R635" s="236"/>
    </row>
    <row r="636" customHeight="1" spans="1:18">
      <c r="A636" s="226" t="s">
        <v>955</v>
      </c>
      <c r="B636" s="226"/>
      <c r="C636" s="226"/>
      <c r="D636" s="226"/>
      <c r="E636" s="226"/>
      <c r="F636" s="226"/>
      <c r="G636" s="226" t="s">
        <v>956</v>
      </c>
      <c r="H636" s="226"/>
      <c r="I636" s="226"/>
      <c r="J636" s="226"/>
      <c r="K636" s="226"/>
      <c r="L636" s="226"/>
      <c r="M636" s="226" t="s">
        <v>957</v>
      </c>
      <c r="N636" s="226"/>
      <c r="O636" s="226"/>
      <c r="P636" s="226"/>
      <c r="Q636" s="226"/>
      <c r="R636" s="226"/>
    </row>
    <row r="637" customHeight="1" spans="1:18">
      <c r="A637" s="227" t="s">
        <v>958</v>
      </c>
      <c r="B637" s="228"/>
      <c r="C637" s="229"/>
      <c r="D637" s="229"/>
      <c r="E637" s="228" t="s">
        <v>832</v>
      </c>
      <c r="F637" s="228"/>
      <c r="G637" s="227" t="s">
        <v>958</v>
      </c>
      <c r="H637" s="228"/>
      <c r="I637" s="229"/>
      <c r="J637" s="229"/>
      <c r="K637" s="228" t="s">
        <v>832</v>
      </c>
      <c r="L637" s="228"/>
      <c r="M637" s="227" t="s">
        <v>958</v>
      </c>
      <c r="N637" s="228"/>
      <c r="O637" s="229"/>
      <c r="P637" s="229"/>
      <c r="Q637" s="228" t="s">
        <v>832</v>
      </c>
      <c r="R637" s="228"/>
    </row>
    <row r="638" customHeight="1" spans="1:18">
      <c r="A638" s="232" t="s">
        <v>959</v>
      </c>
      <c r="B638" s="233"/>
      <c r="C638" s="233"/>
      <c r="D638" s="233"/>
      <c r="E638" s="233"/>
      <c r="F638" s="147"/>
      <c r="G638" s="232" t="s">
        <v>959</v>
      </c>
      <c r="H638" s="233"/>
      <c r="I638" s="233"/>
      <c r="J638" s="233"/>
      <c r="K638" s="233"/>
      <c r="L638" s="147"/>
      <c r="M638" s="232" t="s">
        <v>959</v>
      </c>
      <c r="N638" s="233"/>
      <c r="O638" s="233"/>
      <c r="P638" s="233"/>
      <c r="Q638" s="233"/>
      <c r="R638" s="147"/>
    </row>
    <row r="639" customHeight="1" spans="1:18">
      <c r="A639" s="7" t="s">
        <v>104</v>
      </c>
      <c r="B639" s="7" t="s">
        <v>835</v>
      </c>
      <c r="C639" s="7" t="s">
        <v>159</v>
      </c>
      <c r="D639" s="7" t="s">
        <v>422</v>
      </c>
      <c r="E639" s="7" t="s">
        <v>160</v>
      </c>
      <c r="F639" s="7" t="s">
        <v>18</v>
      </c>
      <c r="G639" s="7" t="s">
        <v>104</v>
      </c>
      <c r="H639" s="7" t="s">
        <v>835</v>
      </c>
      <c r="I639" s="7" t="s">
        <v>159</v>
      </c>
      <c r="J639" s="7" t="s">
        <v>422</v>
      </c>
      <c r="K639" s="7" t="s">
        <v>160</v>
      </c>
      <c r="L639" s="7" t="s">
        <v>18</v>
      </c>
      <c r="M639" s="7" t="s">
        <v>104</v>
      </c>
      <c r="N639" s="7" t="s">
        <v>835</v>
      </c>
      <c r="O639" s="7" t="s">
        <v>159</v>
      </c>
      <c r="P639" s="7" t="s">
        <v>422</v>
      </c>
      <c r="Q639" s="7" t="s">
        <v>160</v>
      </c>
      <c r="R639" s="7" t="s">
        <v>18</v>
      </c>
    </row>
    <row r="640" customHeight="1" spans="1:18">
      <c r="A640" s="7" t="s">
        <v>836</v>
      </c>
      <c r="B640" s="7" t="s">
        <v>837</v>
      </c>
      <c r="C640" s="7"/>
      <c r="D640" s="7"/>
      <c r="E640" s="7"/>
      <c r="F640" s="268">
        <f>F641+F651+F652</f>
        <v>10561.663304</v>
      </c>
      <c r="G640" s="7" t="s">
        <v>836</v>
      </c>
      <c r="H640" s="7" t="s">
        <v>837</v>
      </c>
      <c r="I640" s="7"/>
      <c r="J640" s="7"/>
      <c r="K640" s="7"/>
      <c r="L640" s="268">
        <f>L641+L651+L652</f>
        <v>39352.319304</v>
      </c>
      <c r="M640" s="7" t="s">
        <v>836</v>
      </c>
      <c r="N640" s="7" t="s">
        <v>837</v>
      </c>
      <c r="O640" s="7"/>
      <c r="P640" s="7"/>
      <c r="Q640" s="7"/>
      <c r="R640" s="268">
        <f>R641+R651+R652</f>
        <v>10153.7413081827</v>
      </c>
    </row>
    <row r="641" customHeight="1" spans="1:18">
      <c r="A641" s="7" t="s">
        <v>539</v>
      </c>
      <c r="B641" s="7" t="s">
        <v>838</v>
      </c>
      <c r="C641" s="7"/>
      <c r="D641" s="7"/>
      <c r="E641" s="7"/>
      <c r="F641" s="268">
        <f>F642+F645+F650</f>
        <v>10077.923</v>
      </c>
      <c r="G641" s="7" t="s">
        <v>539</v>
      </c>
      <c r="H641" s="7" t="s">
        <v>838</v>
      </c>
      <c r="I641" s="7"/>
      <c r="J641" s="7"/>
      <c r="K641" s="7"/>
      <c r="L641" s="268">
        <f>L642+L645+L650</f>
        <v>37549.923</v>
      </c>
      <c r="M641" s="7" t="s">
        <v>539</v>
      </c>
      <c r="N641" s="7" t="s">
        <v>838</v>
      </c>
      <c r="O641" s="7"/>
      <c r="P641" s="7"/>
      <c r="Q641" s="7"/>
      <c r="R641" s="268">
        <f>R642+R645+R650</f>
        <v>9688.68445437281</v>
      </c>
    </row>
    <row r="642" customHeight="1" spans="1:18">
      <c r="A642" s="7" t="s">
        <v>836</v>
      </c>
      <c r="B642" s="7" t="s">
        <v>839</v>
      </c>
      <c r="C642" s="7" t="s">
        <v>840</v>
      </c>
      <c r="D642" s="69"/>
      <c r="E642" s="42">
        <f>SUM(E643:E644)</f>
        <v>492.8</v>
      </c>
      <c r="F642" s="69">
        <f>SUM(F643:F644)</f>
        <v>2866.523</v>
      </c>
      <c r="G642" s="7" t="s">
        <v>836</v>
      </c>
      <c r="H642" s="7" t="s">
        <v>839</v>
      </c>
      <c r="I642" s="7" t="s">
        <v>840</v>
      </c>
      <c r="J642" s="69"/>
      <c r="K642" s="42">
        <f>SUM(K643:K644)</f>
        <v>492.8</v>
      </c>
      <c r="L642" s="69">
        <f>SUM(L643:L644)</f>
        <v>2866.523</v>
      </c>
      <c r="M642" s="7" t="s">
        <v>836</v>
      </c>
      <c r="N642" s="7" t="s">
        <v>839</v>
      </c>
      <c r="O642" s="7" t="s">
        <v>840</v>
      </c>
      <c r="P642" s="69"/>
      <c r="Q642" s="42">
        <f>SUM(Q643:Q644)</f>
        <v>492.8</v>
      </c>
      <c r="R642" s="69">
        <f>SUM(R643:R644)</f>
        <v>2866.523</v>
      </c>
    </row>
    <row r="643" customHeight="1" spans="1:18">
      <c r="A643" s="7"/>
      <c r="B643" s="7" t="s">
        <v>841</v>
      </c>
      <c r="C643" s="7" t="s">
        <v>840</v>
      </c>
      <c r="D643" s="69">
        <f>D440</f>
        <v>8.1</v>
      </c>
      <c r="E643" s="42">
        <v>9.9</v>
      </c>
      <c r="F643" s="69">
        <f>D643*E643</f>
        <v>80.19</v>
      </c>
      <c r="G643" s="7"/>
      <c r="H643" s="7" t="s">
        <v>841</v>
      </c>
      <c r="I643" s="7" t="s">
        <v>840</v>
      </c>
      <c r="J643" s="69">
        <f>D643</f>
        <v>8.1</v>
      </c>
      <c r="K643" s="42">
        <v>9.9</v>
      </c>
      <c r="L643" s="69">
        <f t="shared" ref="L643:L648" si="34">J643*K643</f>
        <v>80.19</v>
      </c>
      <c r="M643" s="7"/>
      <c r="N643" s="7" t="s">
        <v>841</v>
      </c>
      <c r="O643" s="7" t="s">
        <v>840</v>
      </c>
      <c r="P643" s="69">
        <f>J643</f>
        <v>8.1</v>
      </c>
      <c r="Q643" s="42">
        <v>9.9</v>
      </c>
      <c r="R643" s="69">
        <f t="shared" ref="R643:R646" si="35">P643*Q643</f>
        <v>80.19</v>
      </c>
    </row>
    <row r="644" customHeight="1" spans="1:18">
      <c r="A644" s="7"/>
      <c r="B644" s="7" t="s">
        <v>842</v>
      </c>
      <c r="C644" s="7" t="s">
        <v>840</v>
      </c>
      <c r="D644" s="69">
        <f>D441</f>
        <v>5.77</v>
      </c>
      <c r="E644" s="42">
        <v>482.9</v>
      </c>
      <c r="F644" s="69">
        <f>D644*E644</f>
        <v>2786.333</v>
      </c>
      <c r="G644" s="7"/>
      <c r="H644" s="7" t="s">
        <v>842</v>
      </c>
      <c r="I644" s="7" t="s">
        <v>840</v>
      </c>
      <c r="J644" s="69">
        <f>D644</f>
        <v>5.77</v>
      </c>
      <c r="K644" s="42">
        <v>482.9</v>
      </c>
      <c r="L644" s="69">
        <f t="shared" si="34"/>
        <v>2786.333</v>
      </c>
      <c r="M644" s="7"/>
      <c r="N644" s="7" t="s">
        <v>842</v>
      </c>
      <c r="O644" s="7" t="s">
        <v>840</v>
      </c>
      <c r="P644" s="69">
        <f>J644</f>
        <v>5.77</v>
      </c>
      <c r="Q644" s="42">
        <v>482.9</v>
      </c>
      <c r="R644" s="69">
        <f t="shared" si="35"/>
        <v>2786.333</v>
      </c>
    </row>
    <row r="645" customHeight="1" spans="1:18">
      <c r="A645" s="7" t="s">
        <v>46</v>
      </c>
      <c r="B645" s="7" t="s">
        <v>912</v>
      </c>
      <c r="C645" s="7"/>
      <c r="D645" s="7"/>
      <c r="E645" s="7"/>
      <c r="F645" s="250">
        <f>SUM(F646:F649)</f>
        <v>7211.4</v>
      </c>
      <c r="G645" s="7" t="s">
        <v>46</v>
      </c>
      <c r="H645" s="7" t="s">
        <v>912</v>
      </c>
      <c r="I645" s="7"/>
      <c r="J645" s="7"/>
      <c r="K645" s="7"/>
      <c r="L645" s="250">
        <f>SUM(L646:L649)</f>
        <v>34683.4</v>
      </c>
      <c r="M645" s="7" t="s">
        <v>46</v>
      </c>
      <c r="N645" s="7" t="s">
        <v>912</v>
      </c>
      <c r="O645" s="7"/>
      <c r="P645" s="7"/>
      <c r="Q645" s="7"/>
      <c r="R645" s="250">
        <f>SUM(R646:R649)</f>
        <v>6822.16145437281</v>
      </c>
    </row>
    <row r="646" customHeight="1" spans="1:18">
      <c r="A646" s="7"/>
      <c r="B646" s="7" t="s">
        <v>960</v>
      </c>
      <c r="C646" s="7" t="s">
        <v>169</v>
      </c>
      <c r="D646" s="7">
        <f>材料预算价!L8</f>
        <v>70</v>
      </c>
      <c r="E646" s="7">
        <v>81.6</v>
      </c>
      <c r="F646" s="69">
        <f>D646*E646</f>
        <v>5712</v>
      </c>
      <c r="G646" s="7"/>
      <c r="H646" s="7" t="s">
        <v>374</v>
      </c>
      <c r="I646" s="7" t="s">
        <v>169</v>
      </c>
      <c r="J646" s="38">
        <v>70</v>
      </c>
      <c r="K646" s="7">
        <v>34</v>
      </c>
      <c r="L646" s="69">
        <f t="shared" si="34"/>
        <v>2380</v>
      </c>
      <c r="M646" s="7"/>
      <c r="N646" s="7" t="s">
        <v>374</v>
      </c>
      <c r="O646" s="7" t="s">
        <v>169</v>
      </c>
      <c r="P646" s="38">
        <f>材料预算价!K14</f>
        <v>66.2217186407767</v>
      </c>
      <c r="Q646" s="7">
        <f>81.6+20.4</f>
        <v>102</v>
      </c>
      <c r="R646" s="69">
        <f t="shared" si="35"/>
        <v>6754.61530135922</v>
      </c>
    </row>
    <row r="647" customHeight="1" spans="1:18">
      <c r="A647" s="7"/>
      <c r="B647" s="7" t="s">
        <v>961</v>
      </c>
      <c r="C647" s="7" t="s">
        <v>169</v>
      </c>
      <c r="D647" s="70">
        <v>70</v>
      </c>
      <c r="E647" s="7">
        <v>20.4</v>
      </c>
      <c r="F647" s="69">
        <f>D647*E647</f>
        <v>1428</v>
      </c>
      <c r="G647" s="7"/>
      <c r="H647" s="7" t="s">
        <v>962</v>
      </c>
      <c r="I647" s="7" t="s">
        <v>169</v>
      </c>
      <c r="J647" s="69">
        <f>440+100</f>
        <v>540</v>
      </c>
      <c r="K647" s="7">
        <v>34</v>
      </c>
      <c r="L647" s="69">
        <f t="shared" si="34"/>
        <v>18360</v>
      </c>
      <c r="M647" s="7"/>
      <c r="N647" s="7"/>
      <c r="O647" s="7"/>
      <c r="P647" s="69"/>
      <c r="Q647" s="7"/>
      <c r="R647" s="69"/>
    </row>
    <row r="648" customHeight="1" spans="1:18">
      <c r="A648" s="7"/>
      <c r="B648" s="7"/>
      <c r="C648" s="7"/>
      <c r="D648" s="69"/>
      <c r="E648" s="7"/>
      <c r="F648" s="69"/>
      <c r="G648" s="7"/>
      <c r="H648" s="7" t="s">
        <v>963</v>
      </c>
      <c r="I648" s="7" t="s">
        <v>169</v>
      </c>
      <c r="J648" s="69">
        <f>300+100</f>
        <v>400</v>
      </c>
      <c r="K648" s="7">
        <v>34</v>
      </c>
      <c r="L648" s="69">
        <f t="shared" si="34"/>
        <v>13600</v>
      </c>
      <c r="M648" s="7"/>
      <c r="N648" s="7"/>
      <c r="O648" s="7"/>
      <c r="P648" s="69"/>
      <c r="Q648" s="7"/>
      <c r="R648" s="69"/>
    </row>
    <row r="649" customHeight="1" spans="1:18">
      <c r="A649" s="7"/>
      <c r="B649" s="7" t="s">
        <v>952</v>
      </c>
      <c r="C649" s="9" t="s">
        <v>845</v>
      </c>
      <c r="D649" s="34">
        <f>F646+F647</f>
        <v>7140</v>
      </c>
      <c r="E649" s="7">
        <v>1</v>
      </c>
      <c r="F649" s="69">
        <f>D649*E649/100</f>
        <v>71.4</v>
      </c>
      <c r="G649" s="7"/>
      <c r="H649" s="7" t="s">
        <v>952</v>
      </c>
      <c r="I649" s="9" t="s">
        <v>845</v>
      </c>
      <c r="J649" s="34">
        <f>SUM(L646:L648)</f>
        <v>34340</v>
      </c>
      <c r="K649" s="7">
        <v>1</v>
      </c>
      <c r="L649" s="69">
        <f>J649*K649/100</f>
        <v>343.4</v>
      </c>
      <c r="M649" s="7"/>
      <c r="N649" s="7" t="s">
        <v>952</v>
      </c>
      <c r="O649" s="9" t="s">
        <v>845</v>
      </c>
      <c r="P649" s="34">
        <f>SUM(R646:R648)</f>
        <v>6754.61530135922</v>
      </c>
      <c r="Q649" s="7">
        <v>1</v>
      </c>
      <c r="R649" s="69">
        <f>P649*Q649/100</f>
        <v>67.5461530135922</v>
      </c>
    </row>
    <row r="650" customHeight="1" spans="1:18">
      <c r="A650" s="7" t="s">
        <v>83</v>
      </c>
      <c r="B650" s="7" t="s">
        <v>859</v>
      </c>
      <c r="C650" s="7"/>
      <c r="D650" s="7"/>
      <c r="E650" s="7"/>
      <c r="F650" s="250"/>
      <c r="G650" s="7" t="s">
        <v>83</v>
      </c>
      <c r="H650" s="7" t="s">
        <v>859</v>
      </c>
      <c r="I650" s="7"/>
      <c r="J650" s="7"/>
      <c r="K650" s="7"/>
      <c r="L650" s="250"/>
      <c r="M650" s="7" t="s">
        <v>83</v>
      </c>
      <c r="N650" s="7" t="s">
        <v>859</v>
      </c>
      <c r="O650" s="7"/>
      <c r="P650" s="7"/>
      <c r="Q650" s="7"/>
      <c r="R650" s="250"/>
    </row>
    <row r="651" customHeight="1" spans="1:18">
      <c r="A651" s="7" t="s">
        <v>564</v>
      </c>
      <c r="B651" s="7" t="s">
        <v>846</v>
      </c>
      <c r="C651" s="230">
        <f>取费表!$C$6</f>
        <v>0.048</v>
      </c>
      <c r="D651" s="69"/>
      <c r="E651" s="34">
        <f>F641</f>
        <v>10077.923</v>
      </c>
      <c r="F651" s="69">
        <f>E651*C651</f>
        <v>483.740304</v>
      </c>
      <c r="G651" s="7" t="s">
        <v>564</v>
      </c>
      <c r="H651" s="7" t="s">
        <v>846</v>
      </c>
      <c r="I651" s="230">
        <f>取费表!$C$6</f>
        <v>0.048</v>
      </c>
      <c r="J651" s="69"/>
      <c r="K651" s="34">
        <f>L641</f>
        <v>37549.923</v>
      </c>
      <c r="L651" s="69">
        <f t="shared" ref="L651:L654" si="36">K651*I651</f>
        <v>1802.396304</v>
      </c>
      <c r="M651" s="7" t="s">
        <v>564</v>
      </c>
      <c r="N651" s="7" t="s">
        <v>846</v>
      </c>
      <c r="O651" s="230">
        <f>取费表!$C$6</f>
        <v>0.048</v>
      </c>
      <c r="P651" s="69"/>
      <c r="Q651" s="34">
        <f>R641</f>
        <v>9688.68445437281</v>
      </c>
      <c r="R651" s="69">
        <f t="shared" ref="R651:R654" si="37">Q651*O651</f>
        <v>465.056853809895</v>
      </c>
    </row>
    <row r="652" customHeight="1" spans="1:18">
      <c r="A652" s="7"/>
      <c r="B652" s="7"/>
      <c r="C652" s="230"/>
      <c r="D652" s="69"/>
      <c r="E652" s="34"/>
      <c r="F652" s="69"/>
      <c r="G652" s="7"/>
      <c r="H652" s="7"/>
      <c r="I652" s="230"/>
      <c r="J652" s="69"/>
      <c r="K652" s="34"/>
      <c r="L652" s="69"/>
      <c r="M652" s="7"/>
      <c r="N652" s="7"/>
      <c r="O652" s="230"/>
      <c r="P652" s="69"/>
      <c r="Q652" s="34"/>
      <c r="R652" s="69"/>
    </row>
    <row r="653" customHeight="1" spans="1:18">
      <c r="A653" s="7" t="s">
        <v>439</v>
      </c>
      <c r="B653" s="7" t="s">
        <v>847</v>
      </c>
      <c r="C653" s="230">
        <f>C690</f>
        <v>0.085</v>
      </c>
      <c r="D653" s="69"/>
      <c r="E653" s="34">
        <f>F640</f>
        <v>10561.663304</v>
      </c>
      <c r="F653" s="69">
        <f>E653*C653</f>
        <v>897.74138084</v>
      </c>
      <c r="G653" s="7" t="s">
        <v>439</v>
      </c>
      <c r="H653" s="7" t="s">
        <v>847</v>
      </c>
      <c r="I653" s="230">
        <f>C653</f>
        <v>0.085</v>
      </c>
      <c r="J653" s="69"/>
      <c r="K653" s="34">
        <f>L640</f>
        <v>39352.319304</v>
      </c>
      <c r="L653" s="69">
        <f t="shared" si="36"/>
        <v>3344.94714084</v>
      </c>
      <c r="M653" s="7" t="s">
        <v>439</v>
      </c>
      <c r="N653" s="7" t="s">
        <v>847</v>
      </c>
      <c r="O653" s="230">
        <f>I653</f>
        <v>0.085</v>
      </c>
      <c r="P653" s="69"/>
      <c r="Q653" s="34">
        <f>R640</f>
        <v>10153.7413081827</v>
      </c>
      <c r="R653" s="69">
        <f t="shared" si="37"/>
        <v>863.068011195531</v>
      </c>
    </row>
    <row r="654" customHeight="1" spans="1:18">
      <c r="A654" s="7" t="s">
        <v>83</v>
      </c>
      <c r="B654" s="7" t="s">
        <v>848</v>
      </c>
      <c r="C654" s="230">
        <f>取费表!$F$6</f>
        <v>0.07</v>
      </c>
      <c r="D654" s="69"/>
      <c r="E654" s="34">
        <f>F640+F653</f>
        <v>11459.40468484</v>
      </c>
      <c r="F654" s="69">
        <f>E654*C654</f>
        <v>802.1583279388</v>
      </c>
      <c r="G654" s="7" t="s">
        <v>83</v>
      </c>
      <c r="H654" s="7" t="s">
        <v>848</v>
      </c>
      <c r="I654" s="230">
        <f>取费表!$F$6</f>
        <v>0.07</v>
      </c>
      <c r="J654" s="69"/>
      <c r="K654" s="34">
        <f>L640+L653</f>
        <v>42697.26644484</v>
      </c>
      <c r="L654" s="69">
        <f t="shared" si="36"/>
        <v>2988.8086511388</v>
      </c>
      <c r="M654" s="7" t="s">
        <v>83</v>
      </c>
      <c r="N654" s="7" t="s">
        <v>848</v>
      </c>
      <c r="O654" s="230">
        <f>取费表!$F$6</f>
        <v>0.07</v>
      </c>
      <c r="P654" s="69"/>
      <c r="Q654" s="34">
        <f>R640+R653</f>
        <v>11016.8093193782</v>
      </c>
      <c r="R654" s="69">
        <f t="shared" si="37"/>
        <v>771.176652356477</v>
      </c>
    </row>
    <row r="655" customHeight="1" spans="1:18">
      <c r="A655" s="7" t="s">
        <v>121</v>
      </c>
      <c r="B655" s="7" t="s">
        <v>861</v>
      </c>
      <c r="C655" s="9"/>
      <c r="D655" s="69"/>
      <c r="E655" s="7"/>
      <c r="F655" s="69">
        <f>F656+F657</f>
        <v>3078.6475584</v>
      </c>
      <c r="G655" s="7" t="s">
        <v>121</v>
      </c>
      <c r="H655" s="7" t="s">
        <v>861</v>
      </c>
      <c r="I655" s="9"/>
      <c r="J655" s="69"/>
      <c r="K655" s="7"/>
      <c r="L655" s="69">
        <f>L656</f>
        <v>0</v>
      </c>
      <c r="M655" s="7" t="s">
        <v>121</v>
      </c>
      <c r="N655" s="7" t="s">
        <v>861</v>
      </c>
      <c r="O655" s="9"/>
      <c r="P655" s="69"/>
      <c r="Q655" s="7"/>
      <c r="R655" s="69">
        <f>R656</f>
        <v>0</v>
      </c>
    </row>
    <row r="656" customHeight="1" spans="1:18">
      <c r="A656" s="7"/>
      <c r="B656" s="7" t="s">
        <v>960</v>
      </c>
      <c r="C656" s="7" t="s">
        <v>169</v>
      </c>
      <c r="D656" s="69">
        <f>材料预算价!K8-70</f>
        <v>29.13701</v>
      </c>
      <c r="E656" s="7">
        <f>E646</f>
        <v>81.6</v>
      </c>
      <c r="F656" s="69">
        <f>E656*D656</f>
        <v>2377.580016</v>
      </c>
      <c r="G656" s="7"/>
      <c r="H656" s="7" t="s">
        <v>374</v>
      </c>
      <c r="I656" s="7" t="s">
        <v>169</v>
      </c>
      <c r="J656" s="69"/>
      <c r="K656" s="7">
        <f>K646</f>
        <v>34</v>
      </c>
      <c r="L656" s="69">
        <f>J656*K656</f>
        <v>0</v>
      </c>
      <c r="M656" s="7"/>
      <c r="N656" s="7" t="s">
        <v>374</v>
      </c>
      <c r="O656" s="7" t="s">
        <v>169</v>
      </c>
      <c r="P656" s="69"/>
      <c r="Q656" s="7">
        <f>Q646</f>
        <v>102</v>
      </c>
      <c r="R656" s="69">
        <f>P656*Q656</f>
        <v>0</v>
      </c>
    </row>
    <row r="657" customHeight="1" spans="1:18">
      <c r="A657" s="7"/>
      <c r="B657" s="7" t="s">
        <v>961</v>
      </c>
      <c r="C657" s="7" t="s">
        <v>169</v>
      </c>
      <c r="D657" s="69">
        <f>材料预算价!K7-70</f>
        <v>34.366056</v>
      </c>
      <c r="E657" s="7">
        <f>E647</f>
        <v>20.4</v>
      </c>
      <c r="F657" s="69">
        <f>E657*D657</f>
        <v>701.0675424</v>
      </c>
      <c r="G657" s="7"/>
      <c r="H657" s="7"/>
      <c r="I657" s="7"/>
      <c r="J657" s="69"/>
      <c r="K657" s="7"/>
      <c r="L657" s="69"/>
      <c r="M657" s="7"/>
      <c r="N657" s="7"/>
      <c r="O657" s="7"/>
      <c r="P657" s="69"/>
      <c r="Q657" s="7"/>
      <c r="R657" s="69"/>
    </row>
    <row r="658" customHeight="1" spans="1:18">
      <c r="A658" s="7" t="s">
        <v>135</v>
      </c>
      <c r="B658" s="7" t="s">
        <v>849</v>
      </c>
      <c r="C658" s="231">
        <f>C579</f>
        <v>0.09</v>
      </c>
      <c r="D658" s="69"/>
      <c r="E658" s="34">
        <f>F655+F654+F653+F640</f>
        <v>15340.2105711788</v>
      </c>
      <c r="F658" s="69">
        <f>E658*C658</f>
        <v>1380.61895140609</v>
      </c>
      <c r="G658" s="7" t="s">
        <v>135</v>
      </c>
      <c r="H658" s="7" t="s">
        <v>849</v>
      </c>
      <c r="I658" s="231">
        <f>C658</f>
        <v>0.09</v>
      </c>
      <c r="J658" s="69"/>
      <c r="K658" s="34">
        <f>L655+L654+L653+L640</f>
        <v>45686.0750959788</v>
      </c>
      <c r="L658" s="69">
        <f>K658*I658</f>
        <v>4111.74675863809</v>
      </c>
      <c r="M658" s="7" t="s">
        <v>135</v>
      </c>
      <c r="N658" s="7" t="s">
        <v>849</v>
      </c>
      <c r="O658" s="231">
        <f>I658</f>
        <v>0.09</v>
      </c>
      <c r="P658" s="69"/>
      <c r="Q658" s="34">
        <f>R655+R654+R653+R640</f>
        <v>11787.9859717347</v>
      </c>
      <c r="R658" s="69">
        <f>Q658*O658</f>
        <v>1060.91873745612</v>
      </c>
    </row>
    <row r="659" customHeight="1" spans="1:18">
      <c r="A659" s="7"/>
      <c r="B659" s="7" t="s">
        <v>850</v>
      </c>
      <c r="C659" s="231"/>
      <c r="D659" s="69"/>
      <c r="E659" s="34"/>
      <c r="F659" s="69">
        <f>(F640+F653+F654+F655+F658)*取费表!H6</f>
        <v>501.624885677547</v>
      </c>
      <c r="G659" s="7"/>
      <c r="H659" s="7" t="s">
        <v>850</v>
      </c>
      <c r="I659" s="231"/>
      <c r="J659" s="69"/>
      <c r="K659" s="34"/>
      <c r="L659" s="69">
        <f>(L640+L653+L654+L655+L658)*取费表!H12</f>
        <v>1493.93465563851</v>
      </c>
      <c r="M659" s="7"/>
      <c r="N659" s="7" t="s">
        <v>850</v>
      </c>
      <c r="O659" s="231"/>
      <c r="P659" s="69"/>
      <c r="Q659" s="34"/>
      <c r="R659" s="69">
        <f>(R640+R653+R654+R655+R658)*取费表!H6</f>
        <v>385.467141275725</v>
      </c>
    </row>
    <row r="660" customHeight="1" spans="1:18">
      <c r="A660" s="7"/>
      <c r="B660" s="7" t="s">
        <v>156</v>
      </c>
      <c r="C660" s="7"/>
      <c r="D660" s="69"/>
      <c r="E660" s="7"/>
      <c r="F660" s="69">
        <f>F658+F655+F654+F653+F640</f>
        <v>16720.8295225849</v>
      </c>
      <c r="G660" s="7"/>
      <c r="H660" s="7" t="s">
        <v>156</v>
      </c>
      <c r="I660" s="7"/>
      <c r="J660" s="69"/>
      <c r="K660" s="7"/>
      <c r="L660" s="69">
        <f>L658+L655+L654+L653+L640</f>
        <v>49797.8218546169</v>
      </c>
      <c r="M660" s="7"/>
      <c r="N660" s="7" t="s">
        <v>156</v>
      </c>
      <c r="O660" s="7"/>
      <c r="P660" s="69"/>
      <c r="Q660" s="7"/>
      <c r="R660" s="69">
        <f>R658+R655+R654+R653+R640</f>
        <v>12848.9047091908</v>
      </c>
    </row>
    <row r="661" customHeight="1" spans="1:18">
      <c r="A661" s="7"/>
      <c r="B661" s="7"/>
      <c r="C661" s="7"/>
      <c r="D661" s="69"/>
      <c r="E661" s="7"/>
      <c r="F661" s="69"/>
      <c r="G661" s="269"/>
      <c r="H661" s="269"/>
      <c r="I661" s="269"/>
      <c r="J661" s="269"/>
      <c r="K661" s="269"/>
      <c r="L661" s="269"/>
      <c r="M661" s="269"/>
      <c r="N661" s="269"/>
      <c r="O661" s="269"/>
      <c r="P661" s="269"/>
      <c r="Q661" s="269"/>
      <c r="R661" s="269"/>
    </row>
    <row r="662" customHeight="1" spans="1:18">
      <c r="A662" s="7"/>
      <c r="B662" s="7"/>
      <c r="C662" s="7"/>
      <c r="D662" s="69"/>
      <c r="E662" s="7"/>
      <c r="F662" s="69"/>
      <c r="G662" s="269"/>
      <c r="H662" s="269"/>
      <c r="I662" s="269"/>
      <c r="J662" s="269"/>
      <c r="K662" s="269"/>
      <c r="L662" s="269"/>
      <c r="M662" s="269"/>
      <c r="N662" s="269"/>
      <c r="O662" s="269"/>
      <c r="P662" s="269"/>
      <c r="Q662" s="269"/>
      <c r="R662" s="269"/>
    </row>
    <row r="663" customHeight="1" spans="1:18">
      <c r="A663" s="7"/>
      <c r="B663" s="7"/>
      <c r="C663" s="7"/>
      <c r="D663" s="69"/>
      <c r="E663" s="7"/>
      <c r="F663" s="69"/>
      <c r="G663" s="269"/>
      <c r="H663" s="269"/>
      <c r="I663" s="269"/>
      <c r="J663" s="269"/>
      <c r="K663" s="269"/>
      <c r="L663" s="269"/>
      <c r="M663" s="269"/>
      <c r="N663" s="269"/>
      <c r="O663" s="269"/>
      <c r="P663" s="269"/>
      <c r="Q663" s="269"/>
      <c r="R663" s="269"/>
    </row>
    <row r="664" customHeight="1" spans="1:18">
      <c r="A664" s="7"/>
      <c r="B664" s="7"/>
      <c r="C664" s="7"/>
      <c r="D664" s="69"/>
      <c r="E664" s="7"/>
      <c r="F664" s="69"/>
      <c r="G664" s="269"/>
      <c r="H664" s="269"/>
      <c r="I664" s="269"/>
      <c r="J664" s="269"/>
      <c r="K664" s="269"/>
      <c r="L664" s="269"/>
      <c r="M664" s="269"/>
      <c r="N664" s="269"/>
      <c r="O664" s="269"/>
      <c r="P664" s="269"/>
      <c r="Q664" s="269"/>
      <c r="R664" s="269"/>
    </row>
    <row r="665" customHeight="1" spans="1:18">
      <c r="A665" s="7"/>
      <c r="B665" s="7"/>
      <c r="C665" s="7"/>
      <c r="D665" s="69"/>
      <c r="E665" s="7"/>
      <c r="F665" s="69"/>
      <c r="G665" s="269"/>
      <c r="H665" s="269"/>
      <c r="I665" s="269"/>
      <c r="J665" s="269"/>
      <c r="K665" s="269"/>
      <c r="L665" s="269"/>
      <c r="M665" s="269"/>
      <c r="N665" s="269"/>
      <c r="O665" s="269"/>
      <c r="P665" s="269"/>
      <c r="Q665" s="269"/>
      <c r="R665" s="269"/>
    </row>
    <row r="666" customHeight="1" spans="1:18">
      <c r="A666" s="7"/>
      <c r="B666" s="7"/>
      <c r="C666" s="7"/>
      <c r="D666" s="69"/>
      <c r="E666" s="7"/>
      <c r="F666" s="69"/>
      <c r="G666" s="269"/>
      <c r="H666" s="269"/>
      <c r="I666" s="269"/>
      <c r="J666" s="269"/>
      <c r="K666" s="269"/>
      <c r="L666" s="269"/>
      <c r="M666" s="269"/>
      <c r="N666" s="269"/>
      <c r="O666" s="269"/>
      <c r="P666" s="269"/>
      <c r="Q666" s="269"/>
      <c r="R666" s="269"/>
    </row>
    <row r="667" customHeight="1" spans="1:18">
      <c r="A667" s="7"/>
      <c r="B667" s="7"/>
      <c r="C667" s="7"/>
      <c r="D667" s="69"/>
      <c r="E667" s="7"/>
      <c r="F667" s="69"/>
      <c r="G667" s="269"/>
      <c r="H667" s="269"/>
      <c r="I667" s="269"/>
      <c r="J667" s="269"/>
      <c r="K667" s="269"/>
      <c r="L667" s="269"/>
      <c r="M667" s="269"/>
      <c r="N667" s="269"/>
      <c r="O667" s="269"/>
      <c r="P667" s="269"/>
      <c r="Q667" s="269"/>
      <c r="R667" s="269"/>
    </row>
    <row r="668" customHeight="1" spans="1:18">
      <c r="A668" s="7"/>
      <c r="B668" s="7"/>
      <c r="C668" s="7"/>
      <c r="D668" s="69"/>
      <c r="E668" s="7"/>
      <c r="F668" s="69"/>
      <c r="G668" s="269"/>
      <c r="H668" s="269"/>
      <c r="I668" s="269"/>
      <c r="J668" s="269"/>
      <c r="K668" s="269"/>
      <c r="L668" s="269"/>
      <c r="M668" s="269"/>
      <c r="N668" s="269"/>
      <c r="O668" s="269"/>
      <c r="P668" s="269"/>
      <c r="Q668" s="269"/>
      <c r="R668" s="269"/>
    </row>
    <row r="669" customHeight="1" spans="1:18">
      <c r="A669" s="7"/>
      <c r="B669" s="7"/>
      <c r="C669" s="7"/>
      <c r="D669" s="69"/>
      <c r="E669" s="7"/>
      <c r="F669" s="69"/>
      <c r="G669" s="269"/>
      <c r="H669" s="269"/>
      <c r="I669" s="269"/>
      <c r="J669" s="269"/>
      <c r="K669" s="269"/>
      <c r="L669" s="269"/>
      <c r="M669" s="269"/>
      <c r="N669" s="269"/>
      <c r="O669" s="269"/>
      <c r="P669" s="269"/>
      <c r="Q669" s="269"/>
      <c r="R669" s="269"/>
    </row>
    <row r="670" customHeight="1" spans="1:18">
      <c r="A670" s="7"/>
      <c r="B670" s="7"/>
      <c r="C670" s="7"/>
      <c r="D670" s="69"/>
      <c r="E670" s="7"/>
      <c r="F670" s="69"/>
      <c r="G670" s="269"/>
      <c r="H670" s="269"/>
      <c r="I670" s="269"/>
      <c r="J670" s="269"/>
      <c r="K670" s="269"/>
      <c r="L670" s="269"/>
      <c r="M670" s="269"/>
      <c r="N670" s="269"/>
      <c r="O670" s="269"/>
      <c r="P670" s="269"/>
      <c r="Q670" s="269"/>
      <c r="R670" s="269"/>
    </row>
    <row r="671" customHeight="1" spans="1:18">
      <c r="A671" s="7"/>
      <c r="B671" s="7"/>
      <c r="C671" s="7"/>
      <c r="D671" s="69"/>
      <c r="E671" s="7"/>
      <c r="F671" s="69"/>
      <c r="G671" s="269"/>
      <c r="H671" s="269"/>
      <c r="I671" s="269"/>
      <c r="J671" s="269"/>
      <c r="K671" s="269"/>
      <c r="L671" s="269"/>
      <c r="M671" s="269"/>
      <c r="N671" s="269"/>
      <c r="O671" s="269"/>
      <c r="P671" s="269"/>
      <c r="Q671" s="269"/>
      <c r="R671" s="269"/>
    </row>
    <row r="672" customHeight="1" spans="1:18">
      <c r="A672" s="7"/>
      <c r="B672" s="7"/>
      <c r="C672" s="7"/>
      <c r="D672" s="69"/>
      <c r="E672" s="7"/>
      <c r="F672" s="69"/>
      <c r="G672" s="269"/>
      <c r="H672" s="269"/>
      <c r="I672" s="269"/>
      <c r="J672" s="269"/>
      <c r="K672" s="269"/>
      <c r="L672" s="269"/>
      <c r="M672" s="269"/>
      <c r="N672" s="269"/>
      <c r="O672" s="269"/>
      <c r="P672" s="269"/>
      <c r="Q672" s="269"/>
      <c r="R672" s="269"/>
    </row>
    <row r="673" customHeight="1" spans="1:6">
      <c r="A673" s="236" t="s">
        <v>828</v>
      </c>
      <c r="B673" s="236"/>
      <c r="C673" s="236"/>
      <c r="D673" s="236"/>
      <c r="E673" s="236"/>
      <c r="F673" s="236"/>
    </row>
    <row r="674" customHeight="1" spans="1:6">
      <c r="A674" s="226" t="s">
        <v>964</v>
      </c>
      <c r="B674" s="226"/>
      <c r="C674" s="226"/>
      <c r="D674" s="226"/>
      <c r="E674" s="226"/>
      <c r="F674" s="226"/>
    </row>
    <row r="675" customHeight="1" spans="1:6">
      <c r="A675" s="270" t="s">
        <v>965</v>
      </c>
      <c r="B675" s="228"/>
      <c r="C675" s="229"/>
      <c r="D675" s="229"/>
      <c r="E675" s="228" t="s">
        <v>832</v>
      </c>
      <c r="F675" s="228"/>
    </row>
    <row r="676" customHeight="1" spans="1:6">
      <c r="A676" s="232" t="s">
        <v>959</v>
      </c>
      <c r="B676" s="233"/>
      <c r="C676" s="233"/>
      <c r="D676" s="233"/>
      <c r="E676" s="233"/>
      <c r="F676" s="147"/>
    </row>
    <row r="677" customHeight="1" spans="1:6">
      <c r="A677" s="7" t="s">
        <v>104</v>
      </c>
      <c r="B677" s="7" t="s">
        <v>835</v>
      </c>
      <c r="C677" s="7" t="s">
        <v>159</v>
      </c>
      <c r="D677" s="7" t="s">
        <v>422</v>
      </c>
      <c r="E677" s="7" t="s">
        <v>160</v>
      </c>
      <c r="F677" s="7" t="s">
        <v>18</v>
      </c>
    </row>
    <row r="678" customHeight="1" spans="1:6">
      <c r="A678" s="7" t="s">
        <v>836</v>
      </c>
      <c r="B678" s="7" t="s">
        <v>837</v>
      </c>
      <c r="C678" s="7"/>
      <c r="D678" s="7"/>
      <c r="E678" s="7"/>
      <c r="F678" s="268">
        <f>F679+F688+F689</f>
        <v>10711.1362896402</v>
      </c>
    </row>
    <row r="679" customHeight="1" spans="1:6">
      <c r="A679" s="7" t="s">
        <v>539</v>
      </c>
      <c r="B679" s="7" t="s">
        <v>838</v>
      </c>
      <c r="C679" s="7"/>
      <c r="D679" s="7"/>
      <c r="E679" s="7"/>
      <c r="F679" s="268">
        <f>F680+F683+F686</f>
        <v>10220.5498946949</v>
      </c>
    </row>
    <row r="680" s="218" customFormat="1" customHeight="1" spans="1:6">
      <c r="A680" s="7" t="s">
        <v>836</v>
      </c>
      <c r="B680" s="7" t="s">
        <v>839</v>
      </c>
      <c r="C680" s="7" t="s">
        <v>840</v>
      </c>
      <c r="D680" s="69"/>
      <c r="E680" s="42">
        <f>SUM(E681:E682)</f>
        <v>363.4</v>
      </c>
      <c r="F680" s="69">
        <f>SUM(F681:F682)</f>
        <v>2350.788</v>
      </c>
    </row>
    <row r="681" s="217" customFormat="1" customHeight="1" spans="1:6">
      <c r="A681" s="7"/>
      <c r="B681" s="7" t="s">
        <v>841</v>
      </c>
      <c r="C681" s="7" t="s">
        <v>840</v>
      </c>
      <c r="D681" s="69">
        <f>D481</f>
        <v>8.1</v>
      </c>
      <c r="E681" s="42">
        <v>109</v>
      </c>
      <c r="F681" s="69">
        <f>D681*E681</f>
        <v>882.9</v>
      </c>
    </row>
    <row r="682" s="217" customFormat="1" customHeight="1" spans="1:6">
      <c r="A682" s="7"/>
      <c r="B682" s="7" t="s">
        <v>842</v>
      </c>
      <c r="C682" s="7" t="s">
        <v>840</v>
      </c>
      <c r="D682" s="69">
        <f>D482</f>
        <v>5.77</v>
      </c>
      <c r="E682" s="42">
        <v>254.4</v>
      </c>
      <c r="F682" s="69">
        <f>D682*E682</f>
        <v>1467.888</v>
      </c>
    </row>
    <row r="683" customHeight="1" spans="1:6">
      <c r="A683" s="7" t="s">
        <v>46</v>
      </c>
      <c r="B683" s="7" t="s">
        <v>912</v>
      </c>
      <c r="C683" s="7"/>
      <c r="D683" s="7"/>
      <c r="E683" s="7"/>
      <c r="F683" s="250">
        <f>SUM(F684:F685)</f>
        <v>7808.85</v>
      </c>
    </row>
    <row r="684" customHeight="1" spans="1:6">
      <c r="A684" s="7"/>
      <c r="B684" s="7" t="s">
        <v>966</v>
      </c>
      <c r="C684" s="7" t="s">
        <v>169</v>
      </c>
      <c r="D684" s="7">
        <f>材料预算价!L9</f>
        <v>70</v>
      </c>
      <c r="E684" s="7">
        <v>111</v>
      </c>
      <c r="F684" s="69">
        <f>D684*E684</f>
        <v>7770</v>
      </c>
    </row>
    <row r="685" customHeight="1" spans="1:6">
      <c r="A685" s="7"/>
      <c r="B685" s="7" t="s">
        <v>952</v>
      </c>
      <c r="C685" s="9" t="s">
        <v>845</v>
      </c>
      <c r="D685" s="34">
        <f>F684</f>
        <v>7770</v>
      </c>
      <c r="E685" s="7">
        <v>0.5</v>
      </c>
      <c r="F685" s="69">
        <f>D685*E685/100</f>
        <v>38.85</v>
      </c>
    </row>
    <row r="686" customHeight="1" spans="1:6">
      <c r="A686" s="7" t="s">
        <v>83</v>
      </c>
      <c r="B686" s="7" t="s">
        <v>859</v>
      </c>
      <c r="C686" s="7"/>
      <c r="D686" s="7"/>
      <c r="E686" s="7"/>
      <c r="F686" s="250">
        <f>SUM(F687:F687)</f>
        <v>60.9118946948544</v>
      </c>
    </row>
    <row r="687" customHeight="1" spans="1:6">
      <c r="A687" s="7"/>
      <c r="B687" s="7" t="s">
        <v>967</v>
      </c>
      <c r="C687" s="7" t="s">
        <v>428</v>
      </c>
      <c r="D687" s="69">
        <f>台时!C42</f>
        <v>0.813242919824491</v>
      </c>
      <c r="E687" s="7">
        <v>74.9</v>
      </c>
      <c r="F687" s="69">
        <f>D687*E687</f>
        <v>60.9118946948544</v>
      </c>
    </row>
    <row r="688" customHeight="1" spans="1:6">
      <c r="A688" s="7" t="s">
        <v>564</v>
      </c>
      <c r="B688" s="7" t="s">
        <v>846</v>
      </c>
      <c r="C688" s="230">
        <f>取费表!$C$6</f>
        <v>0.048</v>
      </c>
      <c r="D688" s="69"/>
      <c r="E688" s="34">
        <f>F679</f>
        <v>10220.5498946949</v>
      </c>
      <c r="F688" s="69">
        <f>E688*C688</f>
        <v>490.586394945353</v>
      </c>
    </row>
    <row r="689" customHeight="1" spans="1:6">
      <c r="A689" s="7"/>
      <c r="B689" s="7"/>
      <c r="C689" s="230"/>
      <c r="D689" s="69"/>
      <c r="E689" s="34"/>
      <c r="F689" s="69"/>
    </row>
    <row r="690" customHeight="1" spans="1:6">
      <c r="A690" s="7" t="s">
        <v>439</v>
      </c>
      <c r="B690" s="7" t="s">
        <v>847</v>
      </c>
      <c r="C690" s="230">
        <f>取费表!$E$6</f>
        <v>0.085</v>
      </c>
      <c r="D690" s="69"/>
      <c r="E690" s="34">
        <f>F678</f>
        <v>10711.1362896402</v>
      </c>
      <c r="F690" s="69">
        <f>E690*C690</f>
        <v>910.446584619418</v>
      </c>
    </row>
    <row r="691" customHeight="1" spans="1:6">
      <c r="A691" s="7" t="s">
        <v>83</v>
      </c>
      <c r="B691" s="7" t="s">
        <v>848</v>
      </c>
      <c r="C691" s="230">
        <f>取费表!$F$6</f>
        <v>0.07</v>
      </c>
      <c r="D691" s="69"/>
      <c r="E691" s="34">
        <f>F678+F690</f>
        <v>11621.5828742596</v>
      </c>
      <c r="F691" s="69">
        <f>E691*C691</f>
        <v>813.510801198174</v>
      </c>
    </row>
    <row r="692" customHeight="1" spans="1:6">
      <c r="A692" s="7" t="s">
        <v>121</v>
      </c>
      <c r="B692" s="7" t="s">
        <v>861</v>
      </c>
      <c r="C692" s="9"/>
      <c r="D692" s="69"/>
      <c r="E692" s="7"/>
      <c r="F692" s="69">
        <f>F693</f>
        <v>3978.41996225242</v>
      </c>
    </row>
    <row r="693" customHeight="1" spans="1:6">
      <c r="A693" s="7"/>
      <c r="B693" s="7" t="s">
        <v>966</v>
      </c>
      <c r="C693" s="7" t="s">
        <v>169</v>
      </c>
      <c r="D693" s="69">
        <f>材料预算价!K9-材料预算价!L9</f>
        <v>35.8416212815534</v>
      </c>
      <c r="E693" s="7">
        <f>E684</f>
        <v>111</v>
      </c>
      <c r="F693" s="69">
        <f>E693*D693</f>
        <v>3978.41996225242</v>
      </c>
    </row>
    <row r="694" customHeight="1" spans="1:6">
      <c r="A694" s="7" t="s">
        <v>135</v>
      </c>
      <c r="B694" s="7" t="s">
        <v>849</v>
      </c>
      <c r="C694" s="231">
        <f>C579</f>
        <v>0.09</v>
      </c>
      <c r="D694" s="69"/>
      <c r="E694" s="34">
        <f>F692+F691+F690+F678</f>
        <v>16413.5136377102</v>
      </c>
      <c r="F694" s="69">
        <f>E694*C694</f>
        <v>1477.21622739392</v>
      </c>
    </row>
    <row r="695" customHeight="1" spans="1:6">
      <c r="A695" s="7"/>
      <c r="B695" s="7" t="s">
        <v>850</v>
      </c>
      <c r="C695" s="231"/>
      <c r="D695" s="69"/>
      <c r="E695" s="34"/>
      <c r="F695" s="69">
        <f>(F678+F690+F691+F692+F694)*取费表!H4</f>
        <v>536.721895953124</v>
      </c>
    </row>
    <row r="696" customHeight="1" spans="1:6">
      <c r="A696" s="7"/>
      <c r="B696" s="7" t="s">
        <v>156</v>
      </c>
      <c r="C696" s="7"/>
      <c r="D696" s="69"/>
      <c r="E696" s="7"/>
      <c r="F696" s="69">
        <f>F694+F692+F691+F690+F678</f>
        <v>17890.7298651041</v>
      </c>
    </row>
    <row r="697" customHeight="1" spans="1:6">
      <c r="A697" s="7"/>
      <c r="B697" s="7"/>
      <c r="C697" s="7"/>
      <c r="D697" s="69"/>
      <c r="E697" s="7"/>
      <c r="F697" s="69"/>
    </row>
    <row r="698" customHeight="1" spans="1:6">
      <c r="A698" s="7"/>
      <c r="B698" s="7"/>
      <c r="C698" s="7"/>
      <c r="D698" s="69"/>
      <c r="E698" s="7"/>
      <c r="F698" s="69"/>
    </row>
    <row r="699" customHeight="1" spans="1:6">
      <c r="A699" s="7"/>
      <c r="B699" s="7"/>
      <c r="C699" s="7"/>
      <c r="D699" s="69"/>
      <c r="E699" s="7"/>
      <c r="F699" s="69"/>
    </row>
    <row r="700" customHeight="1" spans="1:6">
      <c r="A700" s="7"/>
      <c r="B700" s="7"/>
      <c r="C700" s="7"/>
      <c r="D700" s="69"/>
      <c r="E700" s="7"/>
      <c r="F700" s="69"/>
    </row>
    <row r="701" customHeight="1" spans="1:6">
      <c r="A701" s="7"/>
      <c r="B701" s="7"/>
      <c r="C701" s="7"/>
      <c r="D701" s="69"/>
      <c r="E701" s="7"/>
      <c r="F701" s="69"/>
    </row>
    <row r="702" customHeight="1" spans="1:6">
      <c r="A702" s="7"/>
      <c r="B702" s="7"/>
      <c r="C702" s="7"/>
      <c r="D702" s="69"/>
      <c r="E702" s="7"/>
      <c r="F702" s="69"/>
    </row>
    <row r="703" customHeight="1" spans="1:6">
      <c r="A703" s="7"/>
      <c r="B703" s="7"/>
      <c r="C703" s="7"/>
      <c r="D703" s="69"/>
      <c r="E703" s="7"/>
      <c r="F703" s="69"/>
    </row>
    <row r="704" customHeight="1" spans="1:6">
      <c r="A704" s="7"/>
      <c r="B704" s="7"/>
      <c r="C704" s="7"/>
      <c r="D704" s="69"/>
      <c r="E704" s="7"/>
      <c r="F704" s="69"/>
    </row>
    <row r="705" customHeight="1" spans="1:6">
      <c r="A705" s="7"/>
      <c r="B705" s="7"/>
      <c r="C705" s="7"/>
      <c r="D705" s="69"/>
      <c r="E705" s="7"/>
      <c r="F705" s="69"/>
    </row>
    <row r="706" customHeight="1" spans="1:6">
      <c r="A706" s="7"/>
      <c r="B706" s="7"/>
      <c r="C706" s="7"/>
      <c r="D706" s="69"/>
      <c r="E706" s="7"/>
      <c r="F706" s="69"/>
    </row>
    <row r="707" customHeight="1" spans="1:6">
      <c r="A707" s="7"/>
      <c r="B707" s="7"/>
      <c r="C707" s="7"/>
      <c r="D707" s="69"/>
      <c r="E707" s="7"/>
      <c r="F707" s="69"/>
    </row>
    <row r="708" customHeight="1" spans="1:6">
      <c r="A708" s="7"/>
      <c r="B708" s="7"/>
      <c r="C708" s="7"/>
      <c r="D708" s="69"/>
      <c r="E708" s="7"/>
      <c r="F708" s="69"/>
    </row>
    <row r="709" customHeight="1" spans="1:6">
      <c r="A709" s="7"/>
      <c r="B709" s="7"/>
      <c r="C709" s="7"/>
      <c r="D709" s="69"/>
      <c r="E709" s="7"/>
      <c r="F709" s="69"/>
    </row>
    <row r="710" customHeight="1" spans="1:6">
      <c r="A710" s="7"/>
      <c r="B710" s="7"/>
      <c r="C710" s="7"/>
      <c r="D710" s="69"/>
      <c r="E710" s="7"/>
      <c r="F710" s="69"/>
    </row>
    <row r="711" customHeight="1" spans="1:18">
      <c r="A711" s="236" t="s">
        <v>828</v>
      </c>
      <c r="B711" s="236"/>
      <c r="C711" s="236"/>
      <c r="D711" s="236"/>
      <c r="E711" s="236"/>
      <c r="F711" s="236"/>
      <c r="G711" s="236" t="s">
        <v>828</v>
      </c>
      <c r="H711" s="236"/>
      <c r="I711" s="236"/>
      <c r="J711" s="236"/>
      <c r="K711" s="236"/>
      <c r="L711" s="236"/>
      <c r="M711" s="236" t="s">
        <v>828</v>
      </c>
      <c r="N711" s="236"/>
      <c r="O711" s="236"/>
      <c r="P711" s="236"/>
      <c r="Q711" s="236"/>
      <c r="R711" s="236"/>
    </row>
    <row r="712" customHeight="1" spans="1:18">
      <c r="A712" s="226" t="s">
        <v>968</v>
      </c>
      <c r="B712" s="226"/>
      <c r="C712" s="226"/>
      <c r="D712" s="226"/>
      <c r="E712" s="226"/>
      <c r="F712" s="226"/>
      <c r="G712" s="226" t="s">
        <v>969</v>
      </c>
      <c r="H712" s="226"/>
      <c r="I712" s="226"/>
      <c r="J712" s="226"/>
      <c r="K712" s="226"/>
      <c r="L712" s="226"/>
      <c r="M712" s="226" t="s">
        <v>969</v>
      </c>
      <c r="N712" s="226"/>
      <c r="O712" s="226"/>
      <c r="P712" s="226"/>
      <c r="Q712" s="226"/>
      <c r="R712" s="226"/>
    </row>
    <row r="713" customHeight="1" spans="1:18">
      <c r="A713" s="227" t="s">
        <v>970</v>
      </c>
      <c r="B713" s="228"/>
      <c r="C713" s="229"/>
      <c r="D713" s="229"/>
      <c r="E713" s="228" t="s">
        <v>832</v>
      </c>
      <c r="F713" s="228"/>
      <c r="G713" s="270" t="s">
        <v>971</v>
      </c>
      <c r="H713" s="228"/>
      <c r="I713" s="229"/>
      <c r="J713" s="229"/>
      <c r="K713" s="228" t="s">
        <v>832</v>
      </c>
      <c r="L713" s="228"/>
      <c r="M713" s="270" t="s">
        <v>971</v>
      </c>
      <c r="N713" s="228"/>
      <c r="O713" s="229"/>
      <c r="P713" s="229"/>
      <c r="Q713" s="228" t="s">
        <v>832</v>
      </c>
      <c r="R713" s="228"/>
    </row>
    <row r="714" customHeight="1" spans="1:18">
      <c r="A714" s="232" t="s">
        <v>959</v>
      </c>
      <c r="B714" s="233"/>
      <c r="C714" s="233"/>
      <c r="D714" s="233"/>
      <c r="E714" s="233"/>
      <c r="F714" s="147"/>
      <c r="G714" s="232" t="s">
        <v>959</v>
      </c>
      <c r="H714" s="233"/>
      <c r="I714" s="233"/>
      <c r="J714" s="233"/>
      <c r="K714" s="233"/>
      <c r="L714" s="147"/>
      <c r="M714" s="232" t="s">
        <v>959</v>
      </c>
      <c r="N714" s="233"/>
      <c r="O714" s="233"/>
      <c r="P714" s="233"/>
      <c r="Q714" s="233"/>
      <c r="R714" s="147"/>
    </row>
    <row r="715" customHeight="1" spans="1:18">
      <c r="A715" s="7" t="s">
        <v>104</v>
      </c>
      <c r="B715" s="7" t="s">
        <v>835</v>
      </c>
      <c r="C715" s="7" t="s">
        <v>159</v>
      </c>
      <c r="D715" s="7" t="s">
        <v>422</v>
      </c>
      <c r="E715" s="7" t="s">
        <v>160</v>
      </c>
      <c r="F715" s="7" t="s">
        <v>18</v>
      </c>
      <c r="G715" s="7" t="s">
        <v>104</v>
      </c>
      <c r="H715" s="7" t="s">
        <v>835</v>
      </c>
      <c r="I715" s="7" t="s">
        <v>159</v>
      </c>
      <c r="J715" s="7" t="s">
        <v>422</v>
      </c>
      <c r="K715" s="7" t="s">
        <v>160</v>
      </c>
      <c r="L715" s="7" t="s">
        <v>18</v>
      </c>
      <c r="M715" s="7" t="s">
        <v>104</v>
      </c>
      <c r="N715" s="7" t="s">
        <v>835</v>
      </c>
      <c r="O715" s="7" t="s">
        <v>159</v>
      </c>
      <c r="P715" s="7" t="s">
        <v>422</v>
      </c>
      <c r="Q715" s="7" t="s">
        <v>160</v>
      </c>
      <c r="R715" s="7" t="s">
        <v>18</v>
      </c>
    </row>
    <row r="716" customHeight="1" spans="1:18">
      <c r="A716" s="7" t="s">
        <v>836</v>
      </c>
      <c r="B716" s="7" t="s">
        <v>837</v>
      </c>
      <c r="C716" s="7"/>
      <c r="D716" s="7"/>
      <c r="E716" s="7"/>
      <c r="F716" s="268">
        <f>F717+F726+F727</f>
        <v>12546.6789728121</v>
      </c>
      <c r="G716" s="7" t="s">
        <v>836</v>
      </c>
      <c r="H716" s="7" t="s">
        <v>837</v>
      </c>
      <c r="I716" s="7"/>
      <c r="J716" s="7"/>
      <c r="K716" s="7"/>
      <c r="L716" s="268">
        <f>L717+L726+L727</f>
        <v>10561.663304</v>
      </c>
      <c r="M716" s="7" t="s">
        <v>836</v>
      </c>
      <c r="N716" s="7" t="s">
        <v>837</v>
      </c>
      <c r="O716" s="7"/>
      <c r="P716" s="7"/>
      <c r="Q716" s="7"/>
      <c r="R716" s="268">
        <f>R717+R726+R727</f>
        <v>8933.62742956841</v>
      </c>
    </row>
    <row r="717" customHeight="1" spans="1:18">
      <c r="A717" s="7" t="s">
        <v>539</v>
      </c>
      <c r="B717" s="7" t="s">
        <v>838</v>
      </c>
      <c r="C717" s="7"/>
      <c r="D717" s="7"/>
      <c r="E717" s="7"/>
      <c r="F717" s="268">
        <f>F718+F721+F724</f>
        <v>11972.0219206223</v>
      </c>
      <c r="G717" s="7" t="s">
        <v>539</v>
      </c>
      <c r="H717" s="7" t="s">
        <v>838</v>
      </c>
      <c r="I717" s="7"/>
      <c r="J717" s="7"/>
      <c r="K717" s="7"/>
      <c r="L717" s="268">
        <f>L718+L721+L724</f>
        <v>10077.923</v>
      </c>
      <c r="M717" s="7" t="s">
        <v>539</v>
      </c>
      <c r="N717" s="7" t="s">
        <v>838</v>
      </c>
      <c r="O717" s="7"/>
      <c r="P717" s="7"/>
      <c r="Q717" s="7"/>
      <c r="R717" s="268">
        <f>R718+R721+R724</f>
        <v>8524.45365416833</v>
      </c>
    </row>
    <row r="718" customHeight="1" spans="1:18">
      <c r="A718" s="7" t="s">
        <v>836</v>
      </c>
      <c r="B718" s="7" t="s">
        <v>839</v>
      </c>
      <c r="C718" s="7" t="s">
        <v>840</v>
      </c>
      <c r="D718" s="69"/>
      <c r="E718" s="42">
        <f>SUM(E719:E720)</f>
        <v>567.7</v>
      </c>
      <c r="F718" s="69">
        <f>SUM(F719:F720)</f>
        <v>3707.145</v>
      </c>
      <c r="G718" s="7" t="s">
        <v>836</v>
      </c>
      <c r="H718" s="7" t="s">
        <v>839</v>
      </c>
      <c r="I718" s="7" t="s">
        <v>840</v>
      </c>
      <c r="J718" s="69"/>
      <c r="K718" s="42">
        <f>SUM(K719:K720)</f>
        <v>492.8</v>
      </c>
      <c r="L718" s="69">
        <f>SUM(L719:L720)</f>
        <v>2866.523</v>
      </c>
      <c r="M718" s="7" t="s">
        <v>836</v>
      </c>
      <c r="N718" s="7" t="s">
        <v>839</v>
      </c>
      <c r="O718" s="7" t="s">
        <v>840</v>
      </c>
      <c r="P718" s="69"/>
      <c r="Q718" s="42">
        <f>SUM(Q719:Q720)</f>
        <v>214.2</v>
      </c>
      <c r="R718" s="69">
        <f>SUM(R719:R720)</f>
        <v>1245.953</v>
      </c>
    </row>
    <row r="719" customHeight="1" spans="1:18">
      <c r="A719" s="7"/>
      <c r="B719" s="7" t="s">
        <v>841</v>
      </c>
      <c r="C719" s="7" t="s">
        <v>840</v>
      </c>
      <c r="D719" s="69">
        <f>D681</f>
        <v>8.1</v>
      </c>
      <c r="E719" s="42">
        <v>185.2</v>
      </c>
      <c r="F719" s="69">
        <f>D719*E719</f>
        <v>1500.12</v>
      </c>
      <c r="G719" s="7"/>
      <c r="H719" s="7" t="s">
        <v>841</v>
      </c>
      <c r="I719" s="7" t="s">
        <v>840</v>
      </c>
      <c r="J719" s="69">
        <f>D719</f>
        <v>8.1</v>
      </c>
      <c r="K719" s="42">
        <v>9.9</v>
      </c>
      <c r="L719" s="69">
        <f>J719*K719</f>
        <v>80.19</v>
      </c>
      <c r="M719" s="7"/>
      <c r="N719" s="7" t="s">
        <v>841</v>
      </c>
      <c r="O719" s="7" t="s">
        <v>840</v>
      </c>
      <c r="P719" s="69">
        <f>J719</f>
        <v>8.1</v>
      </c>
      <c r="Q719" s="42">
        <v>4.3</v>
      </c>
      <c r="R719" s="69">
        <f>P719*Q719</f>
        <v>34.83</v>
      </c>
    </row>
    <row r="720" customHeight="1" spans="1:18">
      <c r="A720" s="7"/>
      <c r="B720" s="7" t="s">
        <v>842</v>
      </c>
      <c r="C720" s="7" t="s">
        <v>840</v>
      </c>
      <c r="D720" s="69">
        <f>D682</f>
        <v>5.77</v>
      </c>
      <c r="E720" s="42">
        <v>382.5</v>
      </c>
      <c r="F720" s="69">
        <f>D720*E720</f>
        <v>2207.025</v>
      </c>
      <c r="G720" s="7"/>
      <c r="H720" s="7" t="s">
        <v>842</v>
      </c>
      <c r="I720" s="7" t="s">
        <v>840</v>
      </c>
      <c r="J720" s="69">
        <f>D720</f>
        <v>5.77</v>
      </c>
      <c r="K720" s="42">
        <v>482.9</v>
      </c>
      <c r="L720" s="69">
        <f>J720*K720</f>
        <v>2786.333</v>
      </c>
      <c r="M720" s="7"/>
      <c r="N720" s="7" t="s">
        <v>842</v>
      </c>
      <c r="O720" s="7" t="s">
        <v>840</v>
      </c>
      <c r="P720" s="69">
        <f>J720</f>
        <v>5.77</v>
      </c>
      <c r="Q720" s="42">
        <v>209.9</v>
      </c>
      <c r="R720" s="69">
        <f>P720*Q720</f>
        <v>1211.123</v>
      </c>
    </row>
    <row r="721" customHeight="1" spans="1:18">
      <c r="A721" s="7" t="s">
        <v>46</v>
      </c>
      <c r="B721" s="7" t="s">
        <v>912</v>
      </c>
      <c r="C721" s="7"/>
      <c r="D721" s="7"/>
      <c r="E721" s="7"/>
      <c r="F721" s="250">
        <f>SUM(F722:F723)</f>
        <v>8201.2</v>
      </c>
      <c r="G721" s="7" t="s">
        <v>46</v>
      </c>
      <c r="H721" s="7" t="s">
        <v>912</v>
      </c>
      <c r="I721" s="7"/>
      <c r="J721" s="7"/>
      <c r="K721" s="7"/>
      <c r="L721" s="250">
        <f>SUM(L722:L723)</f>
        <v>7211.4</v>
      </c>
      <c r="M721" s="7" t="s">
        <v>46</v>
      </c>
      <c r="N721" s="7" t="s">
        <v>912</v>
      </c>
      <c r="O721" s="7"/>
      <c r="P721" s="7"/>
      <c r="Q721" s="7"/>
      <c r="R721" s="250">
        <f>SUM(R722:R723)</f>
        <v>7224.42</v>
      </c>
    </row>
    <row r="722" customHeight="1" spans="1:18">
      <c r="A722" s="7"/>
      <c r="B722" s="7" t="s">
        <v>966</v>
      </c>
      <c r="C722" s="7" t="s">
        <v>169</v>
      </c>
      <c r="D722" s="7">
        <f>D684</f>
        <v>70</v>
      </c>
      <c r="E722" s="7">
        <v>116</v>
      </c>
      <c r="F722" s="69">
        <f>D722*E722</f>
        <v>8120</v>
      </c>
      <c r="G722" s="7"/>
      <c r="H722" s="7" t="s">
        <v>972</v>
      </c>
      <c r="I722" s="7" t="s">
        <v>169</v>
      </c>
      <c r="J722" s="7">
        <f>D722</f>
        <v>70</v>
      </c>
      <c r="K722" s="7">
        <v>102</v>
      </c>
      <c r="L722" s="69">
        <f>J722*K722</f>
        <v>7140</v>
      </c>
      <c r="M722" s="7"/>
      <c r="N722" s="7" t="s">
        <v>972</v>
      </c>
      <c r="O722" s="7" t="s">
        <v>169</v>
      </c>
      <c r="P722" s="7">
        <f>J722</f>
        <v>70</v>
      </c>
      <c r="Q722" s="7">
        <v>103</v>
      </c>
      <c r="R722" s="69">
        <f>P722*Q722</f>
        <v>7210</v>
      </c>
    </row>
    <row r="723" customHeight="1" spans="1:18">
      <c r="A723" s="7"/>
      <c r="B723" s="7" t="s">
        <v>952</v>
      </c>
      <c r="C723" s="9" t="s">
        <v>845</v>
      </c>
      <c r="D723" s="34">
        <f>F722</f>
        <v>8120</v>
      </c>
      <c r="E723" s="7">
        <v>1</v>
      </c>
      <c r="F723" s="69">
        <f>D723*E723/100</f>
        <v>81.2</v>
      </c>
      <c r="G723" s="7"/>
      <c r="H723" s="7" t="s">
        <v>952</v>
      </c>
      <c r="I723" s="9" t="s">
        <v>845</v>
      </c>
      <c r="J723" s="34">
        <f>L722</f>
        <v>7140</v>
      </c>
      <c r="K723" s="7">
        <v>1</v>
      </c>
      <c r="L723" s="69">
        <f>J723*K723/100</f>
        <v>71.4</v>
      </c>
      <c r="M723" s="7"/>
      <c r="N723" s="7" t="s">
        <v>952</v>
      </c>
      <c r="O723" s="9" t="s">
        <v>845</v>
      </c>
      <c r="P723" s="34">
        <f>R722</f>
        <v>7210</v>
      </c>
      <c r="Q723" s="7">
        <v>0.2</v>
      </c>
      <c r="R723" s="69">
        <f>P723*Q723/100</f>
        <v>14.42</v>
      </c>
    </row>
    <row r="724" customHeight="1" spans="1:18">
      <c r="A724" s="7" t="s">
        <v>83</v>
      </c>
      <c r="B724" s="7" t="s">
        <v>859</v>
      </c>
      <c r="C724" s="7"/>
      <c r="D724" s="7"/>
      <c r="E724" s="7"/>
      <c r="F724" s="250">
        <f>SUM(F725:F725)</f>
        <v>63.6769206222577</v>
      </c>
      <c r="G724" s="7" t="s">
        <v>83</v>
      </c>
      <c r="H724" s="7" t="s">
        <v>859</v>
      </c>
      <c r="I724" s="7"/>
      <c r="J724" s="7"/>
      <c r="K724" s="7"/>
      <c r="L724" s="250">
        <f>SUM(L725:L725)</f>
        <v>0</v>
      </c>
      <c r="M724" s="7" t="s">
        <v>83</v>
      </c>
      <c r="N724" s="7" t="s">
        <v>859</v>
      </c>
      <c r="O724" s="7"/>
      <c r="P724" s="7"/>
      <c r="Q724" s="7"/>
      <c r="R724" s="250">
        <f>SUM(R725:R725)</f>
        <v>54.0806541683287</v>
      </c>
    </row>
    <row r="725" customHeight="1" spans="1:18">
      <c r="A725" s="7"/>
      <c r="B725" s="7" t="s">
        <v>967</v>
      </c>
      <c r="C725" s="7" t="s">
        <v>428</v>
      </c>
      <c r="D725" s="69">
        <f>D687</f>
        <v>0.813242919824491</v>
      </c>
      <c r="E725" s="7">
        <v>78.3</v>
      </c>
      <c r="F725" s="69">
        <f>D725*E725</f>
        <v>63.6769206222577</v>
      </c>
      <c r="G725" s="7"/>
      <c r="H725" s="7"/>
      <c r="I725" s="7"/>
      <c r="J725" s="69"/>
      <c r="K725" s="7"/>
      <c r="L725" s="69"/>
      <c r="M725" s="7"/>
      <c r="N725" s="7"/>
      <c r="O725" s="7"/>
      <c r="P725" s="69">
        <f>台时!C42</f>
        <v>0.813242919824491</v>
      </c>
      <c r="Q725" s="7">
        <v>66.5</v>
      </c>
      <c r="R725" s="69">
        <f>P725*Q725</f>
        <v>54.0806541683287</v>
      </c>
    </row>
    <row r="726" customHeight="1" spans="1:18">
      <c r="A726" s="7" t="s">
        <v>564</v>
      </c>
      <c r="B726" s="7" t="s">
        <v>846</v>
      </c>
      <c r="C726" s="230">
        <f>C688</f>
        <v>0.048</v>
      </c>
      <c r="D726" s="69"/>
      <c r="E726" s="34">
        <f>F717</f>
        <v>11972.0219206223</v>
      </c>
      <c r="F726" s="69">
        <f>E726*C726</f>
        <v>574.657052189868</v>
      </c>
      <c r="G726" s="7" t="s">
        <v>564</v>
      </c>
      <c r="H726" s="7" t="s">
        <v>846</v>
      </c>
      <c r="I726" s="230">
        <f>C726</f>
        <v>0.048</v>
      </c>
      <c r="J726" s="69"/>
      <c r="K726" s="34">
        <f>L717</f>
        <v>10077.923</v>
      </c>
      <c r="L726" s="69">
        <f>K726*I726</f>
        <v>483.740304</v>
      </c>
      <c r="M726" s="7" t="s">
        <v>564</v>
      </c>
      <c r="N726" s="7" t="s">
        <v>846</v>
      </c>
      <c r="O726" s="230">
        <f>I726</f>
        <v>0.048</v>
      </c>
      <c r="P726" s="69"/>
      <c r="Q726" s="34">
        <f>R717</f>
        <v>8524.45365416833</v>
      </c>
      <c r="R726" s="69">
        <f>Q726*O726</f>
        <v>409.17377540008</v>
      </c>
    </row>
    <row r="727" customHeight="1" spans="1:18">
      <c r="A727" s="7"/>
      <c r="B727" s="7"/>
      <c r="C727" s="230"/>
      <c r="D727" s="69"/>
      <c r="E727" s="34"/>
      <c r="F727" s="69"/>
      <c r="G727" s="7"/>
      <c r="H727" s="7"/>
      <c r="I727" s="230"/>
      <c r="J727" s="69"/>
      <c r="K727" s="34"/>
      <c r="L727" s="69"/>
      <c r="M727" s="7"/>
      <c r="N727" s="7"/>
      <c r="O727" s="230"/>
      <c r="P727" s="69"/>
      <c r="Q727" s="34"/>
      <c r="R727" s="69"/>
    </row>
    <row r="728" customHeight="1" spans="1:18">
      <c r="A728" s="7" t="s">
        <v>439</v>
      </c>
      <c r="B728" s="7" t="s">
        <v>847</v>
      </c>
      <c r="C728" s="230">
        <f>取费表!$E$6</f>
        <v>0.085</v>
      </c>
      <c r="D728" s="69"/>
      <c r="E728" s="34">
        <f>F716</f>
        <v>12546.6789728121</v>
      </c>
      <c r="F728" s="69">
        <f>E728*C728</f>
        <v>1066.46771268903</v>
      </c>
      <c r="G728" s="7" t="s">
        <v>439</v>
      </c>
      <c r="H728" s="7" t="s">
        <v>847</v>
      </c>
      <c r="I728" s="230">
        <f>C728</f>
        <v>0.085</v>
      </c>
      <c r="J728" s="69"/>
      <c r="K728" s="34">
        <f>L716</f>
        <v>10561.663304</v>
      </c>
      <c r="L728" s="69">
        <f>K728*I728</f>
        <v>897.74138084</v>
      </c>
      <c r="M728" s="7" t="s">
        <v>439</v>
      </c>
      <c r="N728" s="7" t="s">
        <v>847</v>
      </c>
      <c r="O728" s="230">
        <f>I728</f>
        <v>0.085</v>
      </c>
      <c r="P728" s="69"/>
      <c r="Q728" s="34">
        <f>R716</f>
        <v>8933.62742956841</v>
      </c>
      <c r="R728" s="69">
        <f>Q728*O728</f>
        <v>759.358331513315</v>
      </c>
    </row>
    <row r="729" customHeight="1" spans="1:18">
      <c r="A729" s="7" t="s">
        <v>83</v>
      </c>
      <c r="B729" s="7" t="s">
        <v>848</v>
      </c>
      <c r="C729" s="230">
        <f>取费表!$F$6</f>
        <v>0.07</v>
      </c>
      <c r="D729" s="69"/>
      <c r="E729" s="34">
        <f>F716+F728</f>
        <v>13613.1466855012</v>
      </c>
      <c r="F729" s="69">
        <f>E729*C729</f>
        <v>952.920267985081</v>
      </c>
      <c r="G729" s="7" t="s">
        <v>83</v>
      </c>
      <c r="H729" s="7" t="s">
        <v>848</v>
      </c>
      <c r="I729" s="230">
        <f>C729</f>
        <v>0.07</v>
      </c>
      <c r="J729" s="69"/>
      <c r="K729" s="34">
        <f>L716+L728</f>
        <v>11459.40468484</v>
      </c>
      <c r="L729" s="69">
        <f>K729*I729</f>
        <v>802.1583279388</v>
      </c>
      <c r="M729" s="7" t="s">
        <v>83</v>
      </c>
      <c r="N729" s="7" t="s">
        <v>848</v>
      </c>
      <c r="O729" s="230">
        <f>I729</f>
        <v>0.07</v>
      </c>
      <c r="P729" s="69"/>
      <c r="Q729" s="34">
        <f>R716+R728</f>
        <v>9692.98576108172</v>
      </c>
      <c r="R729" s="69">
        <f>Q729*O729</f>
        <v>678.509003275721</v>
      </c>
    </row>
    <row r="730" customHeight="1" spans="1:18">
      <c r="A730" s="7" t="s">
        <v>121</v>
      </c>
      <c r="B730" s="7" t="s">
        <v>861</v>
      </c>
      <c r="C730" s="9"/>
      <c r="D730" s="69"/>
      <c r="E730" s="7"/>
      <c r="F730" s="69">
        <f>F731</f>
        <v>4157.62806866019</v>
      </c>
      <c r="G730" s="7" t="s">
        <v>121</v>
      </c>
      <c r="H730" s="7" t="s">
        <v>861</v>
      </c>
      <c r="I730" s="9"/>
      <c r="J730" s="69"/>
      <c r="K730" s="7"/>
      <c r="L730" s="69" t="e">
        <f>L731</f>
        <v>#REF!</v>
      </c>
      <c r="M730" s="7" t="s">
        <v>121</v>
      </c>
      <c r="N730" s="7" t="s">
        <v>861</v>
      </c>
      <c r="O730" s="9"/>
      <c r="P730" s="69"/>
      <c r="Q730" s="7"/>
      <c r="R730" s="69" t="e">
        <f>R731</f>
        <v>#REF!</v>
      </c>
    </row>
    <row r="731" customHeight="1" spans="1:18">
      <c r="A731" s="7"/>
      <c r="B731" s="7" t="s">
        <v>966</v>
      </c>
      <c r="C731" s="7" t="s">
        <v>169</v>
      </c>
      <c r="D731" s="69">
        <f>D693</f>
        <v>35.8416212815534</v>
      </c>
      <c r="E731" s="7">
        <f>E722</f>
        <v>116</v>
      </c>
      <c r="F731" s="69">
        <f>E731*D731</f>
        <v>4157.62806866019</v>
      </c>
      <c r="G731" s="7"/>
      <c r="H731" s="7" t="s">
        <v>972</v>
      </c>
      <c r="I731" s="7" t="s">
        <v>169</v>
      </c>
      <c r="J731" s="69" t="e">
        <f>材料预算价!#REF!-J722</f>
        <v>#REF!</v>
      </c>
      <c r="K731" s="7">
        <f>K722</f>
        <v>102</v>
      </c>
      <c r="L731" s="69" t="e">
        <f>K731*J731</f>
        <v>#REF!</v>
      </c>
      <c r="M731" s="7"/>
      <c r="N731" s="7" t="s">
        <v>972</v>
      </c>
      <c r="O731" s="7" t="s">
        <v>169</v>
      </c>
      <c r="P731" s="69" t="e">
        <f>材料预算价!#REF!-70</f>
        <v>#REF!</v>
      </c>
      <c r="Q731" s="7">
        <f>Q722</f>
        <v>103</v>
      </c>
      <c r="R731" s="69" t="e">
        <f>Q731*P731</f>
        <v>#REF!</v>
      </c>
    </row>
    <row r="732" customHeight="1" spans="1:18">
      <c r="A732" s="7" t="s">
        <v>135</v>
      </c>
      <c r="B732" s="7" t="s">
        <v>849</v>
      </c>
      <c r="C732" s="231">
        <f>C694</f>
        <v>0.09</v>
      </c>
      <c r="D732" s="69"/>
      <c r="E732" s="34">
        <f>F730+F729+F728+F716</f>
        <v>18723.6950221464</v>
      </c>
      <c r="F732" s="69">
        <f>E732*C732</f>
        <v>1685.13255199318</v>
      </c>
      <c r="G732" s="7" t="s">
        <v>135</v>
      </c>
      <c r="H732" s="7" t="s">
        <v>849</v>
      </c>
      <c r="I732" s="231">
        <f>C732</f>
        <v>0.09</v>
      </c>
      <c r="J732" s="69"/>
      <c r="K732" s="34" t="e">
        <f>L730+L729+L728+L716</f>
        <v>#REF!</v>
      </c>
      <c r="L732" s="69" t="e">
        <f>K732*I732</f>
        <v>#REF!</v>
      </c>
      <c r="M732" s="7" t="s">
        <v>135</v>
      </c>
      <c r="N732" s="7" t="s">
        <v>849</v>
      </c>
      <c r="O732" s="231">
        <f>I732</f>
        <v>0.09</v>
      </c>
      <c r="P732" s="69"/>
      <c r="Q732" s="34" t="e">
        <f>R730+R729+R728+R716</f>
        <v>#REF!</v>
      </c>
      <c r="R732" s="69" t="e">
        <f>Q732*O732</f>
        <v>#REF!</v>
      </c>
    </row>
    <row r="733" customHeight="1" spans="1:18">
      <c r="A733" s="7"/>
      <c r="B733" s="7" t="s">
        <v>850</v>
      </c>
      <c r="C733" s="231"/>
      <c r="D733" s="69"/>
      <c r="E733" s="34"/>
      <c r="F733" s="69">
        <f>(F716+F728+F729+F730+F732)*取费表!H4</f>
        <v>612.264827224187</v>
      </c>
      <c r="G733" s="7"/>
      <c r="H733" s="7" t="s">
        <v>850</v>
      </c>
      <c r="I733" s="231"/>
      <c r="J733" s="69"/>
      <c r="K733" s="34"/>
      <c r="L733" s="69" t="e">
        <f>(L716+L728+L729+L730+L732)*取费表!H6</f>
        <v>#REF!</v>
      </c>
      <c r="M733" s="7"/>
      <c r="N733" s="7" t="s">
        <v>850</v>
      </c>
      <c r="O733" s="231"/>
      <c r="P733" s="69"/>
      <c r="Q733" s="34"/>
      <c r="R733" s="69" t="e">
        <f>(R716+R728+R729+R730+R732)*取费表!H6</f>
        <v>#REF!</v>
      </c>
    </row>
    <row r="734" customHeight="1" spans="1:18">
      <c r="A734" s="7"/>
      <c r="B734" s="7" t="s">
        <v>156</v>
      </c>
      <c r="C734" s="7"/>
      <c r="D734" s="69"/>
      <c r="E734" s="7"/>
      <c r="F734" s="69">
        <f>F732+F730+F729+F728+F716</f>
        <v>20408.8275741396</v>
      </c>
      <c r="G734" s="7"/>
      <c r="H734" s="7" t="s">
        <v>156</v>
      </c>
      <c r="I734" s="7"/>
      <c r="J734" s="69"/>
      <c r="K734" s="7"/>
      <c r="L734" s="69" t="e">
        <f>L732+L730+L729+L728+L716</f>
        <v>#REF!</v>
      </c>
      <c r="M734" s="7"/>
      <c r="N734" s="7" t="s">
        <v>156</v>
      </c>
      <c r="O734" s="7"/>
      <c r="P734" s="69"/>
      <c r="Q734" s="7"/>
      <c r="R734" s="69" t="e">
        <f>R732+R730+R729+R728+R716</f>
        <v>#REF!</v>
      </c>
    </row>
    <row r="735" customHeight="1" spans="1:18">
      <c r="A735" s="7"/>
      <c r="B735" s="7"/>
      <c r="C735" s="7"/>
      <c r="D735" s="69"/>
      <c r="E735" s="7"/>
      <c r="F735" s="69"/>
      <c r="G735" s="7"/>
      <c r="H735" s="7"/>
      <c r="I735" s="7"/>
      <c r="J735" s="69"/>
      <c r="K735" s="7"/>
      <c r="L735" s="69"/>
      <c r="M735" s="7"/>
      <c r="N735" s="7"/>
      <c r="O735" s="7"/>
      <c r="P735" s="69"/>
      <c r="Q735" s="7"/>
      <c r="R735" s="69"/>
    </row>
    <row r="736" customHeight="1" spans="1:18">
      <c r="A736" s="7"/>
      <c r="B736" s="7"/>
      <c r="C736" s="7"/>
      <c r="D736" s="69"/>
      <c r="E736" s="7"/>
      <c r="F736" s="69"/>
      <c r="G736" s="7"/>
      <c r="H736" s="7"/>
      <c r="I736" s="7"/>
      <c r="J736" s="69"/>
      <c r="K736" s="7"/>
      <c r="L736" s="69"/>
      <c r="M736" s="7"/>
      <c r="N736" s="7"/>
      <c r="O736" s="7"/>
      <c r="P736" s="69"/>
      <c r="Q736" s="7"/>
      <c r="R736" s="69"/>
    </row>
    <row r="737" customHeight="1" spans="1:18">
      <c r="A737" s="7"/>
      <c r="B737" s="7"/>
      <c r="C737" s="7"/>
      <c r="D737" s="69"/>
      <c r="E737" s="7"/>
      <c r="F737" s="69"/>
      <c r="G737" s="7"/>
      <c r="H737" s="7"/>
      <c r="I737" s="7"/>
      <c r="J737" s="69"/>
      <c r="K737" s="7"/>
      <c r="L737" s="69"/>
      <c r="M737" s="7"/>
      <c r="N737" s="7"/>
      <c r="O737" s="7"/>
      <c r="P737" s="69"/>
      <c r="Q737" s="7"/>
      <c r="R737" s="69"/>
    </row>
    <row r="738" customHeight="1" spans="1:18">
      <c r="A738" s="7"/>
      <c r="B738" s="7"/>
      <c r="C738" s="7"/>
      <c r="D738" s="69"/>
      <c r="E738" s="7"/>
      <c r="F738" s="69"/>
      <c r="G738" s="7"/>
      <c r="H738" s="7"/>
      <c r="I738" s="7"/>
      <c r="J738" s="69"/>
      <c r="K738" s="7"/>
      <c r="L738" s="69"/>
      <c r="M738" s="7"/>
      <c r="N738" s="7"/>
      <c r="O738" s="7"/>
      <c r="P738" s="69"/>
      <c r="Q738" s="7"/>
      <c r="R738" s="69"/>
    </row>
    <row r="739" customHeight="1" spans="1:18">
      <c r="A739" s="7"/>
      <c r="B739" s="7"/>
      <c r="C739" s="7"/>
      <c r="D739" s="69"/>
      <c r="E739" s="7"/>
      <c r="F739" s="69"/>
      <c r="G739" s="7"/>
      <c r="H739" s="7"/>
      <c r="I739" s="7"/>
      <c r="J739" s="69"/>
      <c r="K739" s="7"/>
      <c r="L739" s="69"/>
      <c r="M739" s="7"/>
      <c r="N739" s="7"/>
      <c r="O739" s="7"/>
      <c r="P739" s="69"/>
      <c r="Q739" s="7"/>
      <c r="R739" s="69"/>
    </row>
    <row r="740" customHeight="1" spans="1:18">
      <c r="A740" s="7"/>
      <c r="B740" s="7"/>
      <c r="C740" s="7"/>
      <c r="D740" s="69"/>
      <c r="E740" s="7"/>
      <c r="F740" s="69"/>
      <c r="G740" s="7"/>
      <c r="H740" s="7"/>
      <c r="I740" s="7"/>
      <c r="J740" s="69"/>
      <c r="K740" s="7"/>
      <c r="L740" s="69"/>
      <c r="M740" s="7"/>
      <c r="N740" s="7"/>
      <c r="O740" s="7"/>
      <c r="P740" s="69"/>
      <c r="Q740" s="7"/>
      <c r="R740" s="69"/>
    </row>
    <row r="741" customHeight="1" spans="1:18">
      <c r="A741" s="7"/>
      <c r="B741" s="7"/>
      <c r="C741" s="7"/>
      <c r="D741" s="69"/>
      <c r="E741" s="7"/>
      <c r="F741" s="69"/>
      <c r="G741" s="7"/>
      <c r="H741" s="7"/>
      <c r="I741" s="7"/>
      <c r="J741" s="69"/>
      <c r="K741" s="7"/>
      <c r="L741" s="69"/>
      <c r="M741" s="7"/>
      <c r="N741" s="7"/>
      <c r="O741" s="7"/>
      <c r="P741" s="69"/>
      <c r="Q741" s="7"/>
      <c r="R741" s="69"/>
    </row>
    <row r="742" customHeight="1" spans="1:18">
      <c r="A742" s="7"/>
      <c r="B742" s="7"/>
      <c r="C742" s="7"/>
      <c r="D742" s="69"/>
      <c r="E742" s="7"/>
      <c r="F742" s="69"/>
      <c r="G742" s="7"/>
      <c r="H742" s="7"/>
      <c r="I742" s="7"/>
      <c r="J742" s="69"/>
      <c r="K742" s="7"/>
      <c r="L742" s="69"/>
      <c r="M742" s="7"/>
      <c r="N742" s="7"/>
      <c r="O742" s="7"/>
      <c r="P742" s="69"/>
      <c r="Q742" s="7"/>
      <c r="R742" s="69"/>
    </row>
    <row r="743" customHeight="1" spans="1:18">
      <c r="A743" s="7"/>
      <c r="B743" s="7"/>
      <c r="C743" s="7"/>
      <c r="D743" s="69"/>
      <c r="E743" s="7"/>
      <c r="F743" s="69"/>
      <c r="G743" s="7"/>
      <c r="H743" s="7"/>
      <c r="I743" s="7"/>
      <c r="J743" s="69"/>
      <c r="K743" s="7"/>
      <c r="L743" s="69"/>
      <c r="M743" s="7"/>
      <c r="N743" s="7"/>
      <c r="O743" s="7"/>
      <c r="P743" s="69"/>
      <c r="Q743" s="7"/>
      <c r="R743" s="69"/>
    </row>
    <row r="744" customHeight="1" spans="1:18">
      <c r="A744" s="7"/>
      <c r="B744" s="7"/>
      <c r="C744" s="7"/>
      <c r="D744" s="69"/>
      <c r="E744" s="7"/>
      <c r="F744" s="69"/>
      <c r="G744" s="7"/>
      <c r="H744" s="7"/>
      <c r="I744" s="7"/>
      <c r="J744" s="69"/>
      <c r="K744" s="7"/>
      <c r="L744" s="69"/>
      <c r="M744" s="7"/>
      <c r="N744" s="7"/>
      <c r="O744" s="7"/>
      <c r="P744" s="69"/>
      <c r="Q744" s="7"/>
      <c r="R744" s="69"/>
    </row>
    <row r="745" customHeight="1" spans="1:18">
      <c r="A745" s="7"/>
      <c r="B745" s="7"/>
      <c r="C745" s="7"/>
      <c r="D745" s="69"/>
      <c r="E745" s="7"/>
      <c r="F745" s="69"/>
      <c r="G745" s="269"/>
      <c r="H745" s="269"/>
      <c r="I745" s="269"/>
      <c r="J745" s="269"/>
      <c r="K745" s="269"/>
      <c r="L745" s="269"/>
      <c r="M745" s="269"/>
      <c r="N745" s="269"/>
      <c r="O745" s="269"/>
      <c r="P745" s="269"/>
      <c r="Q745" s="269"/>
      <c r="R745" s="269"/>
    </row>
    <row r="746" customHeight="1" spans="1:18">
      <c r="A746" s="7"/>
      <c r="B746" s="7"/>
      <c r="C746" s="7"/>
      <c r="D746" s="69"/>
      <c r="E746" s="7"/>
      <c r="F746" s="69"/>
      <c r="G746" s="269"/>
      <c r="H746" s="269"/>
      <c r="I746" s="269"/>
      <c r="J746" s="269"/>
      <c r="K746" s="269"/>
      <c r="L746" s="269"/>
      <c r="M746" s="269"/>
      <c r="N746" s="269"/>
      <c r="O746" s="269"/>
      <c r="P746" s="269"/>
      <c r="Q746" s="269"/>
      <c r="R746" s="269"/>
    </row>
    <row r="747" customHeight="1" spans="1:18">
      <c r="A747" s="7"/>
      <c r="B747" s="7"/>
      <c r="C747" s="7"/>
      <c r="D747" s="69"/>
      <c r="E747" s="7"/>
      <c r="F747" s="69"/>
      <c r="G747" s="269"/>
      <c r="H747" s="269"/>
      <c r="I747" s="269"/>
      <c r="J747" s="269"/>
      <c r="K747" s="269"/>
      <c r="L747" s="269"/>
      <c r="M747" s="269"/>
      <c r="N747" s="269"/>
      <c r="O747" s="269"/>
      <c r="P747" s="269"/>
      <c r="Q747" s="269"/>
      <c r="R747" s="269"/>
    </row>
    <row r="748" customHeight="1" spans="1:18">
      <c r="A748" s="7"/>
      <c r="B748" s="7"/>
      <c r="C748" s="7"/>
      <c r="D748" s="69"/>
      <c r="E748" s="7"/>
      <c r="F748" s="69"/>
      <c r="G748" s="269"/>
      <c r="H748" s="269"/>
      <c r="I748" s="269"/>
      <c r="J748" s="269"/>
      <c r="K748" s="269"/>
      <c r="L748" s="269"/>
      <c r="M748" s="269"/>
      <c r="N748" s="269"/>
      <c r="O748" s="269"/>
      <c r="P748" s="269"/>
      <c r="Q748" s="269"/>
      <c r="R748" s="269"/>
    </row>
    <row r="749" customHeight="1" spans="1:6">
      <c r="A749" s="236" t="s">
        <v>828</v>
      </c>
      <c r="B749" s="236"/>
      <c r="C749" s="236"/>
      <c r="D749" s="236"/>
      <c r="E749" s="236"/>
      <c r="F749" s="236"/>
    </row>
    <row r="750" customHeight="1" spans="1:6">
      <c r="A750" s="226" t="s">
        <v>973</v>
      </c>
      <c r="B750" s="226"/>
      <c r="C750" s="226"/>
      <c r="D750" s="226"/>
      <c r="E750" s="226"/>
      <c r="F750" s="226"/>
    </row>
    <row r="751" customHeight="1" spans="1:6">
      <c r="A751" s="227" t="s">
        <v>974</v>
      </c>
      <c r="B751" s="228"/>
      <c r="C751" s="229"/>
      <c r="D751" s="229"/>
      <c r="E751" s="228" t="s">
        <v>832</v>
      </c>
      <c r="F751" s="228"/>
    </row>
    <row r="752" customHeight="1" spans="1:6">
      <c r="A752" s="232" t="s">
        <v>959</v>
      </c>
      <c r="B752" s="233"/>
      <c r="C752" s="234"/>
      <c r="D752" s="234"/>
      <c r="E752" s="234"/>
      <c r="F752" s="235"/>
    </row>
    <row r="753" customHeight="1" spans="1:6">
      <c r="A753" s="7" t="s">
        <v>104</v>
      </c>
      <c r="B753" s="7" t="s">
        <v>835</v>
      </c>
      <c r="C753" s="7" t="s">
        <v>159</v>
      </c>
      <c r="D753" s="7" t="s">
        <v>422</v>
      </c>
      <c r="E753" s="7" t="s">
        <v>160</v>
      </c>
      <c r="F753" s="7" t="s">
        <v>18</v>
      </c>
    </row>
    <row r="754" customHeight="1" spans="1:6">
      <c r="A754" s="7" t="s">
        <v>836</v>
      </c>
      <c r="B754" s="7" t="s">
        <v>837</v>
      </c>
      <c r="C754" s="7"/>
      <c r="D754" s="7"/>
      <c r="E754" s="7"/>
      <c r="F754" s="34">
        <f>F755+F766+F767</f>
        <v>38953.1554488163</v>
      </c>
    </row>
    <row r="755" customHeight="1" spans="1:6">
      <c r="A755" s="7" t="s">
        <v>539</v>
      </c>
      <c r="B755" s="7" t="s">
        <v>838</v>
      </c>
      <c r="C755" s="7"/>
      <c r="D755" s="7"/>
      <c r="E755" s="7"/>
      <c r="F755" s="34">
        <f>F756+F759+F763</f>
        <v>37169.0414587942</v>
      </c>
    </row>
    <row r="756" customHeight="1" spans="1:6">
      <c r="A756" s="7" t="s">
        <v>836</v>
      </c>
      <c r="B756" s="7" t="s">
        <v>839</v>
      </c>
      <c r="C756" s="7" t="s">
        <v>840</v>
      </c>
      <c r="D756" s="69"/>
      <c r="E756" s="42">
        <f>SUM(E757:E758)</f>
        <v>1723.7</v>
      </c>
      <c r="F756" s="69">
        <f>SUM(F757:F758)</f>
        <v>11150.592</v>
      </c>
    </row>
    <row r="757" customHeight="1" spans="1:6">
      <c r="A757" s="7"/>
      <c r="B757" s="7" t="s">
        <v>841</v>
      </c>
      <c r="C757" s="7" t="s">
        <v>840</v>
      </c>
      <c r="D757" s="69">
        <f>D719</f>
        <v>8.1</v>
      </c>
      <c r="E757" s="42">
        <v>517.1</v>
      </c>
      <c r="F757" s="69">
        <f>D757*E757</f>
        <v>4188.51</v>
      </c>
    </row>
    <row r="758" customHeight="1" spans="1:6">
      <c r="A758" s="7"/>
      <c r="B758" s="7" t="s">
        <v>842</v>
      </c>
      <c r="C758" s="7" t="s">
        <v>840</v>
      </c>
      <c r="D758" s="69">
        <f>D720</f>
        <v>5.77</v>
      </c>
      <c r="E758" s="42">
        <v>1206.6</v>
      </c>
      <c r="F758" s="69">
        <f>D758*E758</f>
        <v>6962.082</v>
      </c>
    </row>
    <row r="759" customHeight="1" spans="1:6">
      <c r="A759" s="7" t="s">
        <v>46</v>
      </c>
      <c r="B759" s="7" t="s">
        <v>912</v>
      </c>
      <c r="C759" s="7"/>
      <c r="D759" s="7"/>
      <c r="E759" s="7"/>
      <c r="F759" s="250">
        <f>SUM(F760:F762)</f>
        <v>25800.2355189697</v>
      </c>
    </row>
    <row r="760" customHeight="1" spans="1:6">
      <c r="A760" s="7"/>
      <c r="B760" s="7" t="s">
        <v>975</v>
      </c>
      <c r="C760" s="7" t="s">
        <v>976</v>
      </c>
      <c r="D760" s="69">
        <f>440/(1+3%)</f>
        <v>427.184466019417</v>
      </c>
      <c r="E760" s="7">
        <v>52</v>
      </c>
      <c r="F760" s="69">
        <f>D760*E760</f>
        <v>22213.5922330097</v>
      </c>
    </row>
    <row r="761" customHeight="1" spans="1:6">
      <c r="A761" s="7"/>
      <c r="B761" s="7" t="s">
        <v>977</v>
      </c>
      <c r="C761" s="7" t="s">
        <v>169</v>
      </c>
      <c r="D761" s="69">
        <f>D799</f>
        <v>135.50093</v>
      </c>
      <c r="E761" s="7">
        <v>25.9</v>
      </c>
      <c r="F761" s="69">
        <f>D761*E761</f>
        <v>3509.474087</v>
      </c>
    </row>
    <row r="762" customHeight="1" spans="1:6">
      <c r="A762" s="7"/>
      <c r="B762" s="7" t="s">
        <v>952</v>
      </c>
      <c r="C762" s="9" t="s">
        <v>845</v>
      </c>
      <c r="D762" s="34">
        <f>F760+F761</f>
        <v>25723.0663200097</v>
      </c>
      <c r="E762" s="7">
        <v>0.3</v>
      </c>
      <c r="F762" s="69">
        <f>D762*E762/100</f>
        <v>77.1691989600291</v>
      </c>
    </row>
    <row r="763" customHeight="1" spans="1:6">
      <c r="A763" s="7" t="s">
        <v>83</v>
      </c>
      <c r="B763" s="7" t="s">
        <v>859</v>
      </c>
      <c r="C763" s="7"/>
      <c r="D763" s="7"/>
      <c r="E763" s="7"/>
      <c r="F763" s="250">
        <f>SUM(F764:F765)</f>
        <v>218.213939824491</v>
      </c>
    </row>
    <row r="764" customHeight="1" spans="1:6">
      <c r="A764" s="7"/>
      <c r="B764" s="7" t="s">
        <v>978</v>
      </c>
      <c r="C764" s="7" t="s">
        <v>428</v>
      </c>
      <c r="D764" s="69">
        <f>台时!D42</f>
        <v>23.9179521340247</v>
      </c>
      <c r="E764" s="7">
        <v>4.69</v>
      </c>
      <c r="F764" s="69">
        <f>D764*E764</f>
        <v>112.175195508576</v>
      </c>
    </row>
    <row r="765" customHeight="1" spans="1:6">
      <c r="A765" s="7"/>
      <c r="B765" s="7" t="s">
        <v>967</v>
      </c>
      <c r="C765" s="7" t="s">
        <v>428</v>
      </c>
      <c r="D765" s="69">
        <f>D803</f>
        <v>0.813242919824491</v>
      </c>
      <c r="E765" s="7">
        <v>130.39</v>
      </c>
      <c r="F765" s="69">
        <f>D765*E765</f>
        <v>106.038744315915</v>
      </c>
    </row>
    <row r="766" customHeight="1" spans="1:6">
      <c r="A766" s="7" t="s">
        <v>564</v>
      </c>
      <c r="B766" s="7" t="s">
        <v>846</v>
      </c>
      <c r="C766" s="230">
        <f>取费表!C6</f>
        <v>0.048</v>
      </c>
      <c r="D766" s="69"/>
      <c r="E766" s="34">
        <f>F755</f>
        <v>37169.0414587942</v>
      </c>
      <c r="F766" s="69">
        <f>E766*C766</f>
        <v>1784.11399002212</v>
      </c>
    </row>
    <row r="767" customHeight="1" spans="1:6">
      <c r="A767" s="7"/>
      <c r="B767" s="7"/>
      <c r="C767" s="230"/>
      <c r="D767" s="69"/>
      <c r="E767" s="34"/>
      <c r="F767" s="69"/>
    </row>
    <row r="768" customHeight="1" spans="1:6">
      <c r="A768" s="7" t="s">
        <v>439</v>
      </c>
      <c r="B768" s="7" t="s">
        <v>847</v>
      </c>
      <c r="C768" s="230">
        <f>取费表!E6</f>
        <v>0.085</v>
      </c>
      <c r="D768" s="69"/>
      <c r="E768" s="34">
        <f>F754</f>
        <v>38953.1554488163</v>
      </c>
      <c r="F768" s="69">
        <f>E768*C768</f>
        <v>3311.01821314939</v>
      </c>
    </row>
    <row r="769" customHeight="1" spans="1:6">
      <c r="A769" s="7" t="s">
        <v>83</v>
      </c>
      <c r="B769" s="7" t="s">
        <v>848</v>
      </c>
      <c r="C769" s="230">
        <f>取费表!F6</f>
        <v>0.07</v>
      </c>
      <c r="D769" s="69"/>
      <c r="E769" s="34">
        <f>F754+F768</f>
        <v>42264.1736619657</v>
      </c>
      <c r="F769" s="69">
        <f>E769*C769</f>
        <v>2958.4921563376</v>
      </c>
    </row>
    <row r="770" customHeight="1" spans="1:6">
      <c r="A770" s="7" t="s">
        <v>121</v>
      </c>
      <c r="B770" s="7" t="s">
        <v>861</v>
      </c>
      <c r="C770" s="9"/>
      <c r="D770" s="69"/>
      <c r="E770" s="7"/>
      <c r="F770" s="69">
        <f>SUM(F771:F772)</f>
        <v>1811.12147055504</v>
      </c>
    </row>
    <row r="771" customHeight="1" spans="1:6">
      <c r="A771" s="7"/>
      <c r="B771" s="7" t="s">
        <v>979</v>
      </c>
      <c r="C771" s="7" t="s">
        <v>200</v>
      </c>
      <c r="D771" s="69">
        <f>材料预算价!K5-材料预算价!L5</f>
        <v>141.58936</v>
      </c>
      <c r="E771" s="38">
        <f>E761*配合比!E14</f>
        <v>5.813514</v>
      </c>
      <c r="F771" s="69">
        <f>E771*D771</f>
        <v>823.13172661104</v>
      </c>
    </row>
    <row r="772" customHeight="1" spans="1:6">
      <c r="A772" s="7"/>
      <c r="B772" s="7" t="s">
        <v>961</v>
      </c>
      <c r="C772" s="7" t="s">
        <v>169</v>
      </c>
      <c r="D772" s="69">
        <f>材料预算价!K7-材料预算价!L7</f>
        <v>34.366056</v>
      </c>
      <c r="E772" s="38">
        <f>E761*配合比!G14</f>
        <v>28.749</v>
      </c>
      <c r="F772" s="69">
        <f>E772*D772</f>
        <v>987.989743944</v>
      </c>
    </row>
    <row r="773" customHeight="1" spans="1:6">
      <c r="A773" s="7" t="s">
        <v>135</v>
      </c>
      <c r="B773" s="7" t="s">
        <v>849</v>
      </c>
      <c r="C773" s="231">
        <f>取费表!G6</f>
        <v>0.09</v>
      </c>
      <c r="D773" s="69"/>
      <c r="E773" s="34">
        <f>F770+F769+F768+F754</f>
        <v>47033.7872888583</v>
      </c>
      <c r="F773" s="69">
        <f>E773*C773</f>
        <v>4233.04085599725</v>
      </c>
    </row>
    <row r="774" customHeight="1" spans="1:6">
      <c r="A774" s="7"/>
      <c r="B774" s="7" t="s">
        <v>850</v>
      </c>
      <c r="C774" s="231"/>
      <c r="D774" s="69"/>
      <c r="E774" s="34"/>
      <c r="F774" s="69">
        <f>(F754+F768+F769+F770+F773)*取费表!H6</f>
        <v>1538.00484434567</v>
      </c>
    </row>
    <row r="775" customHeight="1" spans="1:6">
      <c r="A775" s="7"/>
      <c r="B775" s="7" t="s">
        <v>156</v>
      </c>
      <c r="C775" s="7"/>
      <c r="D775" s="69"/>
      <c r="E775" s="7"/>
      <c r="F775" s="69">
        <f>E773+F773+F774</f>
        <v>52804.8329892012</v>
      </c>
    </row>
    <row r="776" customHeight="1" spans="1:6">
      <c r="A776" s="7"/>
      <c r="B776" s="7"/>
      <c r="C776" s="7"/>
      <c r="D776" s="69"/>
      <c r="E776" s="7"/>
      <c r="F776" s="69"/>
    </row>
    <row r="777" customHeight="1" spans="1:6">
      <c r="A777" s="7"/>
      <c r="B777" s="7"/>
      <c r="C777" s="7"/>
      <c r="D777" s="69"/>
      <c r="E777" s="7"/>
      <c r="F777" s="69"/>
    </row>
    <row r="778" customHeight="1" spans="1:6">
      <c r="A778" s="7"/>
      <c r="B778" s="7"/>
      <c r="C778" s="7"/>
      <c r="D778" s="69"/>
      <c r="E778" s="7"/>
      <c r="F778" s="69"/>
    </row>
    <row r="779" customHeight="1" spans="1:6">
      <c r="A779" s="7"/>
      <c r="B779" s="7"/>
      <c r="C779" s="7"/>
      <c r="D779" s="69"/>
      <c r="E779" s="7"/>
      <c r="F779" s="69"/>
    </row>
    <row r="780" customHeight="1" spans="1:6">
      <c r="A780" s="7"/>
      <c r="B780" s="7"/>
      <c r="C780" s="7"/>
      <c r="D780" s="69"/>
      <c r="E780" s="7"/>
      <c r="F780" s="69"/>
    </row>
    <row r="781" customHeight="1" spans="1:6">
      <c r="A781" s="7"/>
      <c r="B781" s="7"/>
      <c r="C781" s="7"/>
      <c r="D781" s="69"/>
      <c r="E781" s="7"/>
      <c r="F781" s="69"/>
    </row>
    <row r="782" customHeight="1" spans="1:6">
      <c r="A782" s="7"/>
      <c r="B782" s="7"/>
      <c r="C782" s="7"/>
      <c r="D782" s="69"/>
      <c r="E782" s="7"/>
      <c r="F782" s="69"/>
    </row>
    <row r="783" customHeight="1" spans="1:6">
      <c r="A783" s="7"/>
      <c r="B783" s="7"/>
      <c r="C783" s="7"/>
      <c r="D783" s="69"/>
      <c r="E783" s="7"/>
      <c r="F783" s="69"/>
    </row>
    <row r="784" customHeight="1" spans="1:6">
      <c r="A784" s="7"/>
      <c r="B784" s="7"/>
      <c r="C784" s="7"/>
      <c r="D784" s="69"/>
      <c r="E784" s="7"/>
      <c r="F784" s="69"/>
    </row>
    <row r="785" customHeight="1" spans="1:6">
      <c r="A785" s="7"/>
      <c r="B785" s="7"/>
      <c r="C785" s="7"/>
      <c r="D785" s="69"/>
      <c r="E785" s="7"/>
      <c r="F785" s="69"/>
    </row>
    <row r="786" customHeight="1" spans="1:6">
      <c r="A786" s="7"/>
      <c r="B786" s="7"/>
      <c r="C786" s="7"/>
      <c r="D786" s="69"/>
      <c r="E786" s="7"/>
      <c r="F786" s="69"/>
    </row>
    <row r="787" customHeight="1" spans="1:12">
      <c r="A787" s="236" t="s">
        <v>828</v>
      </c>
      <c r="B787" s="236"/>
      <c r="C787" s="236"/>
      <c r="D787" s="236"/>
      <c r="E787" s="236"/>
      <c r="F787" s="236"/>
      <c r="G787" s="236" t="s">
        <v>828</v>
      </c>
      <c r="H787" s="236"/>
      <c r="I787" s="236"/>
      <c r="J787" s="236"/>
      <c r="K787" s="236"/>
      <c r="L787" s="236"/>
    </row>
    <row r="788" customHeight="1" spans="1:12">
      <c r="A788" s="226" t="s">
        <v>980</v>
      </c>
      <c r="B788" s="226"/>
      <c r="C788" s="226"/>
      <c r="D788" s="226"/>
      <c r="E788" s="226"/>
      <c r="F788" s="226"/>
      <c r="G788" s="226" t="s">
        <v>981</v>
      </c>
      <c r="H788" s="226"/>
      <c r="I788" s="226"/>
      <c r="J788" s="226"/>
      <c r="K788" s="226"/>
      <c r="L788" s="226"/>
    </row>
    <row r="789" customHeight="1" spans="1:12">
      <c r="A789" s="227" t="s">
        <v>982</v>
      </c>
      <c r="B789" s="228"/>
      <c r="C789" s="229"/>
      <c r="D789" s="229"/>
      <c r="E789" s="228" t="s">
        <v>832</v>
      </c>
      <c r="F789" s="228"/>
      <c r="G789" s="227" t="s">
        <v>982</v>
      </c>
      <c r="H789" s="228"/>
      <c r="I789" s="229"/>
      <c r="J789" s="229"/>
      <c r="K789" s="228" t="s">
        <v>832</v>
      </c>
      <c r="L789" s="228"/>
    </row>
    <row r="790" customHeight="1" spans="1:12">
      <c r="A790" s="232" t="s">
        <v>959</v>
      </c>
      <c r="B790" s="233"/>
      <c r="C790" s="234"/>
      <c r="D790" s="234"/>
      <c r="E790" s="234"/>
      <c r="F790" s="235"/>
      <c r="G790" s="232" t="s">
        <v>959</v>
      </c>
      <c r="H790" s="233"/>
      <c r="I790" s="234"/>
      <c r="J790" s="234"/>
      <c r="K790" s="234"/>
      <c r="L790" s="235"/>
    </row>
    <row r="791" customHeight="1" spans="1:12">
      <c r="A791" s="7" t="s">
        <v>104</v>
      </c>
      <c r="B791" s="7" t="s">
        <v>835</v>
      </c>
      <c r="C791" s="7" t="s">
        <v>159</v>
      </c>
      <c r="D791" s="7" t="s">
        <v>422</v>
      </c>
      <c r="E791" s="7" t="s">
        <v>160</v>
      </c>
      <c r="F791" s="7" t="s">
        <v>18</v>
      </c>
      <c r="G791" s="7" t="s">
        <v>104</v>
      </c>
      <c r="H791" s="7" t="s">
        <v>835</v>
      </c>
      <c r="I791" s="7" t="s">
        <v>159</v>
      </c>
      <c r="J791" s="7" t="s">
        <v>422</v>
      </c>
      <c r="K791" s="7" t="s">
        <v>160</v>
      </c>
      <c r="L791" s="7" t="s">
        <v>18</v>
      </c>
    </row>
    <row r="792" customHeight="1" spans="1:12">
      <c r="A792" s="7" t="s">
        <v>836</v>
      </c>
      <c r="B792" s="7" t="s">
        <v>837</v>
      </c>
      <c r="C792" s="7"/>
      <c r="D792" s="7"/>
      <c r="E792" s="7"/>
      <c r="F792" s="34">
        <f>F793+F804+F805</f>
        <v>19621.1057237481</v>
      </c>
      <c r="G792" s="7" t="s">
        <v>836</v>
      </c>
      <c r="H792" s="7" t="s">
        <v>837</v>
      </c>
      <c r="I792" s="7"/>
      <c r="J792" s="7"/>
      <c r="K792" s="7"/>
      <c r="L792" s="34">
        <f>L793+L804+L805</f>
        <v>19621.1057237481</v>
      </c>
    </row>
    <row r="793" customHeight="1" spans="1:12">
      <c r="A793" s="7" t="s">
        <v>539</v>
      </c>
      <c r="B793" s="7" t="s">
        <v>838</v>
      </c>
      <c r="C793" s="7"/>
      <c r="D793" s="7"/>
      <c r="E793" s="7"/>
      <c r="F793" s="247">
        <f>F794+F797+F801</f>
        <v>18722.4291257138</v>
      </c>
      <c r="G793" s="7" t="s">
        <v>539</v>
      </c>
      <c r="H793" s="7" t="s">
        <v>838</v>
      </c>
      <c r="I793" s="7"/>
      <c r="J793" s="7"/>
      <c r="K793" s="7"/>
      <c r="L793" s="247">
        <f>L794+L797+L801</f>
        <v>18722.4291257138</v>
      </c>
    </row>
    <row r="794" s="218" customFormat="1" customHeight="1" spans="1:12">
      <c r="A794" s="7">
        <v>1</v>
      </c>
      <c r="B794" s="7" t="s">
        <v>839</v>
      </c>
      <c r="C794" s="7" t="s">
        <v>840</v>
      </c>
      <c r="D794" s="69"/>
      <c r="E794" s="42">
        <f>SUM(E795:E796)</f>
        <v>838.7</v>
      </c>
      <c r="F794" s="69">
        <f>SUM(F795:F796)</f>
        <v>5684.856</v>
      </c>
      <c r="G794" s="7">
        <v>1</v>
      </c>
      <c r="H794" s="7" t="s">
        <v>839</v>
      </c>
      <c r="I794" s="7" t="s">
        <v>840</v>
      </c>
      <c r="J794" s="69"/>
      <c r="K794" s="42">
        <f>SUM(K795:K796)</f>
        <v>838.7</v>
      </c>
      <c r="L794" s="69">
        <f>SUM(L795:L796)</f>
        <v>5684.856</v>
      </c>
    </row>
    <row r="795" s="217" customFormat="1" customHeight="1" spans="1:12">
      <c r="A795" s="7"/>
      <c r="B795" s="7" t="s">
        <v>841</v>
      </c>
      <c r="C795" s="7" t="s">
        <v>840</v>
      </c>
      <c r="D795" s="69">
        <f>D757</f>
        <v>8.1</v>
      </c>
      <c r="E795" s="42">
        <v>362.9</v>
      </c>
      <c r="F795" s="69">
        <f>D795*E795</f>
        <v>2939.49</v>
      </c>
      <c r="G795" s="7"/>
      <c r="H795" s="7" t="s">
        <v>841</v>
      </c>
      <c r="I795" s="7" t="s">
        <v>840</v>
      </c>
      <c r="J795" s="69">
        <f>D795</f>
        <v>8.1</v>
      </c>
      <c r="K795" s="42">
        <v>362.9</v>
      </c>
      <c r="L795" s="69">
        <f t="shared" ref="L795:L799" si="38">J795*K795</f>
        <v>2939.49</v>
      </c>
    </row>
    <row r="796" s="217" customFormat="1" customHeight="1" spans="1:12">
      <c r="A796" s="7"/>
      <c r="B796" s="7" t="s">
        <v>842</v>
      </c>
      <c r="C796" s="7" t="s">
        <v>840</v>
      </c>
      <c r="D796" s="69">
        <f>D758</f>
        <v>5.77</v>
      </c>
      <c r="E796" s="42">
        <v>475.8</v>
      </c>
      <c r="F796" s="69">
        <f>D796*E796</f>
        <v>2745.366</v>
      </c>
      <c r="G796" s="7"/>
      <c r="H796" s="7" t="s">
        <v>842</v>
      </c>
      <c r="I796" s="7" t="s">
        <v>840</v>
      </c>
      <c r="J796" s="69">
        <f>D796</f>
        <v>5.77</v>
      </c>
      <c r="K796" s="42">
        <v>475.8</v>
      </c>
      <c r="L796" s="69">
        <f t="shared" si="38"/>
        <v>2745.366</v>
      </c>
    </row>
    <row r="797" customHeight="1" spans="1:12">
      <c r="A797" s="7">
        <v>2</v>
      </c>
      <c r="B797" s="7" t="s">
        <v>912</v>
      </c>
      <c r="C797" s="7"/>
      <c r="D797" s="7"/>
      <c r="E797" s="7"/>
      <c r="F797" s="250">
        <f>SUM(F798:F800)</f>
        <v>12756.648743145</v>
      </c>
      <c r="G797" s="7">
        <v>2</v>
      </c>
      <c r="H797" s="7" t="s">
        <v>912</v>
      </c>
      <c r="I797" s="7"/>
      <c r="J797" s="7"/>
      <c r="K797" s="7"/>
      <c r="L797" s="250">
        <f>SUM(L798:L800)</f>
        <v>12756.648743145</v>
      </c>
    </row>
    <row r="798" customHeight="1" spans="1:12">
      <c r="A798" s="7"/>
      <c r="B798" s="7" t="s">
        <v>966</v>
      </c>
      <c r="C798" s="7" t="s">
        <v>169</v>
      </c>
      <c r="D798" s="7">
        <f>材料预算价!L9</f>
        <v>70</v>
      </c>
      <c r="E798" s="7">
        <v>113</v>
      </c>
      <c r="F798" s="69">
        <f>D798*E798</f>
        <v>7910</v>
      </c>
      <c r="G798" s="7"/>
      <c r="H798" s="7" t="s">
        <v>966</v>
      </c>
      <c r="I798" s="7" t="s">
        <v>169</v>
      </c>
      <c r="J798" s="7">
        <f>D798</f>
        <v>70</v>
      </c>
      <c r="K798" s="7">
        <v>113</v>
      </c>
      <c r="L798" s="69">
        <f t="shared" si="38"/>
        <v>7910</v>
      </c>
    </row>
    <row r="799" customHeight="1" spans="1:12">
      <c r="A799" s="7"/>
      <c r="B799" s="7" t="s">
        <v>977</v>
      </c>
      <c r="C799" s="7" t="s">
        <v>169</v>
      </c>
      <c r="D799" s="69">
        <f>配合比!M14</f>
        <v>135.50093</v>
      </c>
      <c r="E799" s="7">
        <v>35.3</v>
      </c>
      <c r="F799" s="69">
        <f>D799*E799</f>
        <v>4783.182829</v>
      </c>
      <c r="G799" s="7"/>
      <c r="H799" s="7" t="s">
        <v>977</v>
      </c>
      <c r="I799" s="7" t="s">
        <v>169</v>
      </c>
      <c r="J799" s="69">
        <f>D799</f>
        <v>135.50093</v>
      </c>
      <c r="K799" s="7">
        <v>35.3</v>
      </c>
      <c r="L799" s="69">
        <f t="shared" si="38"/>
        <v>4783.182829</v>
      </c>
    </row>
    <row r="800" customHeight="1" spans="1:12">
      <c r="A800" s="7"/>
      <c r="B800" s="7" t="s">
        <v>952</v>
      </c>
      <c r="C800" s="9" t="s">
        <v>845</v>
      </c>
      <c r="D800" s="34">
        <f>F798+F799</f>
        <v>12693.182829</v>
      </c>
      <c r="E800" s="7">
        <v>0.5</v>
      </c>
      <c r="F800" s="69">
        <f>D800*E800/100</f>
        <v>63.465914145</v>
      </c>
      <c r="G800" s="7"/>
      <c r="H800" s="7" t="s">
        <v>952</v>
      </c>
      <c r="I800" s="9" t="s">
        <v>845</v>
      </c>
      <c r="J800" s="34">
        <f>L798+L799</f>
        <v>12693.182829</v>
      </c>
      <c r="K800" s="7">
        <v>0.5</v>
      </c>
      <c r="L800" s="69">
        <f>J800*K800/100</f>
        <v>63.465914145</v>
      </c>
    </row>
    <row r="801" customHeight="1" spans="1:12">
      <c r="A801" s="7">
        <v>3</v>
      </c>
      <c r="B801" s="7" t="s">
        <v>859</v>
      </c>
      <c r="C801" s="7"/>
      <c r="D801" s="7"/>
      <c r="E801" s="7"/>
      <c r="F801" s="250">
        <f>SUM(F802:F803)</f>
        <v>280.924382568807</v>
      </c>
      <c r="G801" s="7">
        <v>3</v>
      </c>
      <c r="H801" s="7" t="s">
        <v>859</v>
      </c>
      <c r="I801" s="7"/>
      <c r="J801" s="7"/>
      <c r="K801" s="7"/>
      <c r="L801" s="250">
        <f>SUM(L802:L803)</f>
        <v>280.924382568807</v>
      </c>
    </row>
    <row r="802" customHeight="1" spans="1:12">
      <c r="A802" s="7"/>
      <c r="B802" s="7" t="s">
        <v>978</v>
      </c>
      <c r="C802" s="7" t="s">
        <v>428</v>
      </c>
      <c r="D802" s="69">
        <f>台时!D42</f>
        <v>23.9179521340247</v>
      </c>
      <c r="E802" s="7">
        <v>6.35</v>
      </c>
      <c r="F802" s="69">
        <f>D802*E802</f>
        <v>151.878996051057</v>
      </c>
      <c r="G802" s="7"/>
      <c r="H802" s="7" t="s">
        <v>978</v>
      </c>
      <c r="I802" s="7" t="s">
        <v>428</v>
      </c>
      <c r="J802" s="69">
        <f>D802</f>
        <v>23.9179521340247</v>
      </c>
      <c r="K802" s="7">
        <v>6.35</v>
      </c>
      <c r="L802" s="69">
        <f>J802*K802</f>
        <v>151.878996051057</v>
      </c>
    </row>
    <row r="803" customHeight="1" spans="1:12">
      <c r="A803" s="7"/>
      <c r="B803" s="7" t="s">
        <v>967</v>
      </c>
      <c r="C803" s="7" t="s">
        <v>428</v>
      </c>
      <c r="D803" s="69">
        <f>台时!C42</f>
        <v>0.813242919824491</v>
      </c>
      <c r="E803" s="7">
        <v>158.68</v>
      </c>
      <c r="F803" s="69">
        <f>D803*E803</f>
        <v>129.04538651775</v>
      </c>
      <c r="G803" s="7"/>
      <c r="H803" s="7" t="s">
        <v>967</v>
      </c>
      <c r="I803" s="7" t="s">
        <v>428</v>
      </c>
      <c r="J803" s="69">
        <f>D803</f>
        <v>0.813242919824491</v>
      </c>
      <c r="K803" s="7">
        <v>158.68</v>
      </c>
      <c r="L803" s="69">
        <f>J803*K803</f>
        <v>129.04538651775</v>
      </c>
    </row>
    <row r="804" customHeight="1" spans="1:12">
      <c r="A804" s="7" t="s">
        <v>564</v>
      </c>
      <c r="B804" s="7" t="s">
        <v>846</v>
      </c>
      <c r="C804" s="230">
        <f>取费表!$C$6</f>
        <v>0.048</v>
      </c>
      <c r="D804" s="69"/>
      <c r="E804" s="247">
        <f>F793</f>
        <v>18722.4291257138</v>
      </c>
      <c r="F804" s="69">
        <f>E804*C804</f>
        <v>898.676598034263</v>
      </c>
      <c r="G804" s="7" t="s">
        <v>564</v>
      </c>
      <c r="H804" s="7" t="s">
        <v>846</v>
      </c>
      <c r="I804" s="230">
        <f>取费表!$C$6</f>
        <v>0.048</v>
      </c>
      <c r="J804" s="69"/>
      <c r="K804" s="247">
        <f>L793</f>
        <v>18722.4291257138</v>
      </c>
      <c r="L804" s="69">
        <f t="shared" ref="L804:L807" si="39">K804*I804</f>
        <v>898.676598034263</v>
      </c>
    </row>
    <row r="805" customHeight="1" spans="1:12">
      <c r="A805" s="7"/>
      <c r="B805" s="7"/>
      <c r="C805" s="230"/>
      <c r="D805" s="69"/>
      <c r="E805" s="247"/>
      <c r="F805" s="69"/>
      <c r="G805" s="7"/>
      <c r="H805" s="7"/>
      <c r="I805" s="230"/>
      <c r="J805" s="69"/>
      <c r="K805" s="247"/>
      <c r="L805" s="69"/>
    </row>
    <row r="806" customHeight="1" spans="1:12">
      <c r="A806" s="7" t="s">
        <v>439</v>
      </c>
      <c r="B806" s="7" t="s">
        <v>847</v>
      </c>
      <c r="C806" s="230">
        <f>取费表!$E$6</f>
        <v>0.085</v>
      </c>
      <c r="D806" s="69"/>
      <c r="E806" s="34">
        <f>F792</f>
        <v>19621.1057237481</v>
      </c>
      <c r="F806" s="69">
        <f>E806*C806</f>
        <v>1667.79398651859</v>
      </c>
      <c r="G806" s="7" t="s">
        <v>439</v>
      </c>
      <c r="H806" s="7" t="s">
        <v>847</v>
      </c>
      <c r="I806" s="230">
        <f>取费表!$E$6</f>
        <v>0.085</v>
      </c>
      <c r="J806" s="69"/>
      <c r="K806" s="34">
        <f>L792</f>
        <v>19621.1057237481</v>
      </c>
      <c r="L806" s="69">
        <f t="shared" si="39"/>
        <v>1667.79398651859</v>
      </c>
    </row>
    <row r="807" customHeight="1" spans="1:12">
      <c r="A807" s="7" t="s">
        <v>83</v>
      </c>
      <c r="B807" s="7" t="s">
        <v>848</v>
      </c>
      <c r="C807" s="230">
        <f>取费表!$F$6</f>
        <v>0.07</v>
      </c>
      <c r="D807" s="69"/>
      <c r="E807" s="34">
        <f>F806+F792</f>
        <v>21288.8997102667</v>
      </c>
      <c r="F807" s="69">
        <f>E807*C807</f>
        <v>1490.22297971867</v>
      </c>
      <c r="G807" s="7" t="s">
        <v>83</v>
      </c>
      <c r="H807" s="7" t="s">
        <v>848</v>
      </c>
      <c r="I807" s="230">
        <f>取费表!$F$6</f>
        <v>0.07</v>
      </c>
      <c r="J807" s="69"/>
      <c r="K807" s="34">
        <f>L806+L792</f>
        <v>21288.8997102667</v>
      </c>
      <c r="L807" s="69">
        <f t="shared" si="39"/>
        <v>1490.22297971867</v>
      </c>
    </row>
    <row r="808" customHeight="1" spans="1:12">
      <c r="A808" s="7" t="s">
        <v>121</v>
      </c>
      <c r="B808" s="7" t="s">
        <v>861</v>
      </c>
      <c r="C808" s="9"/>
      <c r="D808" s="69"/>
      <c r="E808" s="7"/>
      <c r="F808" s="69">
        <f>SUM(F809:F811)</f>
        <v>6518.54289248321</v>
      </c>
      <c r="G808" s="7" t="s">
        <v>121</v>
      </c>
      <c r="H808" s="7" t="s">
        <v>861</v>
      </c>
      <c r="I808" s="9"/>
      <c r="J808" s="69"/>
      <c r="K808" s="7"/>
      <c r="L808" s="69">
        <f>SUM(L809:L811)</f>
        <v>7498.27679352701</v>
      </c>
    </row>
    <row r="809" customHeight="1" spans="1:12">
      <c r="A809" s="7"/>
      <c r="B809" s="7" t="s">
        <v>966</v>
      </c>
      <c r="C809" s="7" t="s">
        <v>169</v>
      </c>
      <c r="D809" s="69">
        <f>材料预算价!K9-材料预算价!L9</f>
        <v>35.8416212815534</v>
      </c>
      <c r="E809" s="7">
        <f>E798</f>
        <v>113</v>
      </c>
      <c r="F809" s="69">
        <f>E809*D809</f>
        <v>4050.10320481553</v>
      </c>
      <c r="G809" s="7"/>
      <c r="H809" s="7" t="s">
        <v>966</v>
      </c>
      <c r="I809" s="7" t="s">
        <v>169</v>
      </c>
      <c r="J809" s="69">
        <f>D809</f>
        <v>35.8416212815534</v>
      </c>
      <c r="K809" s="7">
        <f>K798</f>
        <v>113</v>
      </c>
      <c r="L809" s="69">
        <f t="shared" ref="L809:L811" si="40">K809*J809</f>
        <v>4050.10320481553</v>
      </c>
    </row>
    <row r="810" customHeight="1" spans="1:12">
      <c r="A810" s="7"/>
      <c r="B810" s="7" t="s">
        <v>979</v>
      </c>
      <c r="C810" s="7" t="s">
        <v>200</v>
      </c>
      <c r="D810" s="69">
        <f>D771</f>
        <v>141.58936</v>
      </c>
      <c r="E810" s="38">
        <f>E799*配合比!E14</f>
        <v>7.923438</v>
      </c>
      <c r="F810" s="69">
        <f>E810*D810</f>
        <v>1121.87451541968</v>
      </c>
      <c r="G810" s="7"/>
      <c r="H810" s="7" t="s">
        <v>983</v>
      </c>
      <c r="I810" s="7" t="s">
        <v>200</v>
      </c>
      <c r="J810" s="69">
        <f>J924</f>
        <v>265.23946</v>
      </c>
      <c r="K810" s="38">
        <f>E810</f>
        <v>7.923438</v>
      </c>
      <c r="L810" s="69">
        <f t="shared" si="40"/>
        <v>2101.60841646348</v>
      </c>
    </row>
    <row r="811" customHeight="1" spans="1:12">
      <c r="A811" s="7"/>
      <c r="B811" s="7" t="s">
        <v>961</v>
      </c>
      <c r="C811" s="7" t="s">
        <v>169</v>
      </c>
      <c r="D811" s="69">
        <f>D772</f>
        <v>34.366056</v>
      </c>
      <c r="E811" s="38">
        <f>E799*配合比!G14</f>
        <v>39.183</v>
      </c>
      <c r="F811" s="69">
        <f>E811*D811</f>
        <v>1346.565172248</v>
      </c>
      <c r="G811" s="7"/>
      <c r="H811" s="7" t="s">
        <v>961</v>
      </c>
      <c r="I811" s="7" t="s">
        <v>169</v>
      </c>
      <c r="J811" s="69">
        <f>D811</f>
        <v>34.366056</v>
      </c>
      <c r="K811" s="38">
        <f>E811</f>
        <v>39.183</v>
      </c>
      <c r="L811" s="69">
        <f t="shared" si="40"/>
        <v>1346.565172248</v>
      </c>
    </row>
    <row r="812" customHeight="1" spans="1:12">
      <c r="A812" s="7" t="s">
        <v>135</v>
      </c>
      <c r="B812" s="7" t="s">
        <v>849</v>
      </c>
      <c r="C812" s="231">
        <f>C773</f>
        <v>0.09</v>
      </c>
      <c r="D812" s="69"/>
      <c r="E812" s="247">
        <f>F808+F807+F806+F792</f>
        <v>29297.6655824686</v>
      </c>
      <c r="F812" s="69">
        <f>E812*C812</f>
        <v>2636.78990242217</v>
      </c>
      <c r="G812" s="7" t="s">
        <v>135</v>
      </c>
      <c r="H812" s="7" t="s">
        <v>849</v>
      </c>
      <c r="I812" s="231">
        <f>C812</f>
        <v>0.09</v>
      </c>
      <c r="J812" s="69"/>
      <c r="K812" s="247">
        <f>L808+L807+L806+L792</f>
        <v>30277.3994835124</v>
      </c>
      <c r="L812" s="69">
        <f>K812*I812</f>
        <v>2724.96595351611</v>
      </c>
    </row>
    <row r="813" customHeight="1" spans="1:12">
      <c r="A813" s="7"/>
      <c r="B813" s="7" t="s">
        <v>850</v>
      </c>
      <c r="C813" s="231"/>
      <c r="D813" s="69"/>
      <c r="E813" s="247"/>
      <c r="F813" s="69">
        <f>(F792+F806+F807+F808+F812)*取费表!H4</f>
        <v>958.033664546722</v>
      </c>
      <c r="G813" s="7"/>
      <c r="H813" s="7" t="s">
        <v>850</v>
      </c>
      <c r="I813" s="231"/>
      <c r="J813" s="69"/>
      <c r="K813" s="247"/>
      <c r="L813" s="69">
        <f>(L792+L806+L807+L808+L812)*取费表!H6</f>
        <v>990.070963110855</v>
      </c>
    </row>
    <row r="814" customHeight="1" spans="1:12">
      <c r="A814" s="7"/>
      <c r="B814" s="7" t="s">
        <v>156</v>
      </c>
      <c r="C814" s="7"/>
      <c r="D814" s="7"/>
      <c r="E814" s="7"/>
      <c r="F814" s="69">
        <f>F812+F808+F807+F806+F792+F813</f>
        <v>32892.4891494375</v>
      </c>
      <c r="G814" s="7"/>
      <c r="H814" s="7" t="s">
        <v>156</v>
      </c>
      <c r="I814" s="7"/>
      <c r="J814" s="7"/>
      <c r="K814" s="7"/>
      <c r="L814" s="69">
        <f>L812+L808+L807+L806+L792+L813</f>
        <v>33992.4364001393</v>
      </c>
    </row>
    <row r="815" customHeight="1" spans="1:12">
      <c r="A815" s="8"/>
      <c r="B815" s="7"/>
      <c r="C815" s="9"/>
      <c r="D815" s="8"/>
      <c r="E815" s="7"/>
      <c r="F815" s="69"/>
      <c r="G815" s="8"/>
      <c r="H815" s="7"/>
      <c r="I815" s="9"/>
      <c r="J815" s="8"/>
      <c r="K815" s="7"/>
      <c r="L815" s="69"/>
    </row>
    <row r="816" customHeight="1" spans="1:12">
      <c r="A816" s="8"/>
      <c r="B816" s="7"/>
      <c r="C816" s="9"/>
      <c r="D816" s="8"/>
      <c r="E816" s="34"/>
      <c r="F816" s="69"/>
      <c r="G816" s="8"/>
      <c r="H816" s="7"/>
      <c r="I816" s="9"/>
      <c r="J816" s="8"/>
      <c r="K816" s="34"/>
      <c r="L816" s="69"/>
    </row>
    <row r="817" customHeight="1" spans="1:12">
      <c r="A817" s="8"/>
      <c r="B817" s="7"/>
      <c r="C817" s="8"/>
      <c r="D817" s="8"/>
      <c r="E817" s="7"/>
      <c r="F817" s="69"/>
      <c r="G817" s="8"/>
      <c r="H817" s="7"/>
      <c r="I817" s="8"/>
      <c r="J817" s="8"/>
      <c r="K817" s="7"/>
      <c r="L817" s="69"/>
    </row>
    <row r="818" customHeight="1" spans="1:12">
      <c r="A818" s="8"/>
      <c r="B818" s="7"/>
      <c r="C818" s="8"/>
      <c r="D818" s="8"/>
      <c r="E818" s="7"/>
      <c r="F818" s="69"/>
      <c r="G818" s="8"/>
      <c r="H818" s="7"/>
      <c r="I818" s="8"/>
      <c r="J818" s="8"/>
      <c r="K818" s="7"/>
      <c r="L818" s="69"/>
    </row>
    <row r="819" customHeight="1" spans="1:12">
      <c r="A819" s="8"/>
      <c r="B819" s="7"/>
      <c r="C819" s="8"/>
      <c r="D819" s="8"/>
      <c r="E819" s="7"/>
      <c r="F819" s="69"/>
      <c r="G819" s="8"/>
      <c r="H819" s="7"/>
      <c r="I819" s="8"/>
      <c r="J819" s="8"/>
      <c r="K819" s="7"/>
      <c r="L819" s="69"/>
    </row>
    <row r="820" customHeight="1" spans="1:12">
      <c r="A820" s="8"/>
      <c r="B820" s="7"/>
      <c r="C820" s="8"/>
      <c r="D820" s="8"/>
      <c r="E820" s="7"/>
      <c r="F820" s="69"/>
      <c r="G820" s="8"/>
      <c r="H820" s="7"/>
      <c r="I820" s="8"/>
      <c r="J820" s="8"/>
      <c r="K820" s="7"/>
      <c r="L820" s="69"/>
    </row>
    <row r="821" customHeight="1" spans="1:12">
      <c r="A821" s="8"/>
      <c r="B821" s="7"/>
      <c r="C821" s="8"/>
      <c r="D821" s="8"/>
      <c r="E821" s="7"/>
      <c r="F821" s="69"/>
      <c r="G821" s="8"/>
      <c r="H821" s="7"/>
      <c r="I821" s="8"/>
      <c r="J821" s="8"/>
      <c r="K821" s="7"/>
      <c r="L821" s="69"/>
    </row>
    <row r="822" customHeight="1" spans="1:12">
      <c r="A822" s="8"/>
      <c r="B822" s="7"/>
      <c r="C822" s="8"/>
      <c r="D822" s="8"/>
      <c r="E822" s="7"/>
      <c r="F822" s="69"/>
      <c r="G822" s="8"/>
      <c r="H822" s="7"/>
      <c r="I822" s="8"/>
      <c r="J822" s="8"/>
      <c r="K822" s="7"/>
      <c r="L822" s="69"/>
    </row>
    <row r="823" customHeight="1" spans="1:12">
      <c r="A823" s="8"/>
      <c r="B823" s="7"/>
      <c r="C823" s="8"/>
      <c r="D823" s="8"/>
      <c r="E823" s="7"/>
      <c r="F823" s="69"/>
      <c r="G823" s="8"/>
      <c r="H823" s="7"/>
      <c r="I823" s="8"/>
      <c r="J823" s="8"/>
      <c r="K823" s="7"/>
      <c r="L823" s="69"/>
    </row>
    <row r="824" customHeight="1" spans="1:12">
      <c r="A824" s="8"/>
      <c r="B824" s="7"/>
      <c r="C824" s="8"/>
      <c r="D824" s="8"/>
      <c r="E824" s="7"/>
      <c r="F824" s="69"/>
      <c r="G824" s="8"/>
      <c r="H824" s="7"/>
      <c r="I824" s="8"/>
      <c r="J824" s="8"/>
      <c r="K824" s="7"/>
      <c r="L824" s="69"/>
    </row>
    <row r="825" customHeight="1" spans="1:6">
      <c r="A825" s="236" t="s">
        <v>828</v>
      </c>
      <c r="B825" s="236"/>
      <c r="C825" s="236"/>
      <c r="D825" s="236"/>
      <c r="E825" s="236"/>
      <c r="F825" s="236"/>
    </row>
    <row r="826" customHeight="1" spans="1:6">
      <c r="A826" s="226" t="s">
        <v>984</v>
      </c>
      <c r="B826" s="226"/>
      <c r="C826" s="226"/>
      <c r="D826" s="226"/>
      <c r="E826" s="226"/>
      <c r="F826" s="226"/>
    </row>
    <row r="827" customHeight="1" spans="1:6">
      <c r="A827" s="227" t="s">
        <v>985</v>
      </c>
      <c r="B827" s="228"/>
      <c r="C827" s="229"/>
      <c r="D827" s="229"/>
      <c r="E827" s="228" t="s">
        <v>832</v>
      </c>
      <c r="F827" s="228"/>
    </row>
    <row r="828" customHeight="1" spans="1:6">
      <c r="A828" s="232" t="s">
        <v>959</v>
      </c>
      <c r="B828" s="233"/>
      <c r="C828" s="234"/>
      <c r="D828" s="234"/>
      <c r="E828" s="234"/>
      <c r="F828" s="235"/>
    </row>
    <row r="829" customHeight="1" spans="1:6">
      <c r="A829" s="7" t="s">
        <v>104</v>
      </c>
      <c r="B829" s="7" t="s">
        <v>835</v>
      </c>
      <c r="C829" s="7" t="s">
        <v>159</v>
      </c>
      <c r="D829" s="7" t="s">
        <v>422</v>
      </c>
      <c r="E829" s="7" t="s">
        <v>160</v>
      </c>
      <c r="F829" s="7" t="s">
        <v>18</v>
      </c>
    </row>
    <row r="830" customHeight="1" spans="1:6">
      <c r="A830" s="7" t="s">
        <v>836</v>
      </c>
      <c r="B830" s="7" t="s">
        <v>837</v>
      </c>
      <c r="C830" s="7"/>
      <c r="D830" s="7"/>
      <c r="E830" s="7"/>
      <c r="F830" s="34">
        <f>F831+F842+F843</f>
        <v>20539.7856677481</v>
      </c>
    </row>
    <row r="831" customHeight="1" spans="1:6">
      <c r="A831" s="7" t="s">
        <v>539</v>
      </c>
      <c r="B831" s="7" t="s">
        <v>838</v>
      </c>
      <c r="C831" s="7"/>
      <c r="D831" s="7"/>
      <c r="E831" s="7"/>
      <c r="F831" s="34">
        <f>F832+F835+F839</f>
        <v>19599.0321257138</v>
      </c>
    </row>
    <row r="832" s="218" customFormat="1" customHeight="1" spans="1:6">
      <c r="A832" s="7" t="s">
        <v>836</v>
      </c>
      <c r="B832" s="7" t="s">
        <v>839</v>
      </c>
      <c r="C832" s="7" t="s">
        <v>840</v>
      </c>
      <c r="D832" s="69"/>
      <c r="E832" s="42">
        <f>SUM(E833:E834)</f>
        <v>958.4</v>
      </c>
      <c r="F832" s="69">
        <f>SUM(F833:F834)</f>
        <v>6561.459</v>
      </c>
    </row>
    <row r="833" s="217" customFormat="1" customHeight="1" spans="1:6">
      <c r="A833" s="7"/>
      <c r="B833" s="7" t="s">
        <v>841</v>
      </c>
      <c r="C833" s="7" t="s">
        <v>840</v>
      </c>
      <c r="D833" s="69">
        <f>D795</f>
        <v>8.1</v>
      </c>
      <c r="E833" s="42">
        <v>442.7</v>
      </c>
      <c r="F833" s="69">
        <f>D833*E833</f>
        <v>3585.87</v>
      </c>
    </row>
    <row r="834" s="217" customFormat="1" customHeight="1" spans="1:6">
      <c r="A834" s="7"/>
      <c r="B834" s="7" t="s">
        <v>842</v>
      </c>
      <c r="C834" s="7" t="s">
        <v>840</v>
      </c>
      <c r="D834" s="69">
        <f>D796</f>
        <v>5.77</v>
      </c>
      <c r="E834" s="42">
        <v>515.7</v>
      </c>
      <c r="F834" s="69">
        <f>D834*E834</f>
        <v>2975.589</v>
      </c>
    </row>
    <row r="835" customHeight="1" spans="1:6">
      <c r="A835" s="7" t="s">
        <v>46</v>
      </c>
      <c r="B835" s="7" t="s">
        <v>912</v>
      </c>
      <c r="C835" s="7"/>
      <c r="D835" s="7"/>
      <c r="E835" s="7"/>
      <c r="F835" s="250">
        <f>SUM(F836:F838)</f>
        <v>12756.648743145</v>
      </c>
    </row>
    <row r="836" customHeight="1" spans="1:6">
      <c r="A836" s="7"/>
      <c r="B836" s="7" t="s">
        <v>966</v>
      </c>
      <c r="C836" s="7" t="s">
        <v>169</v>
      </c>
      <c r="D836" s="7">
        <f>材料预算价!L9</f>
        <v>70</v>
      </c>
      <c r="E836" s="7">
        <v>113</v>
      </c>
      <c r="F836" s="69">
        <f>D836*E836</f>
        <v>7910</v>
      </c>
    </row>
    <row r="837" customHeight="1" spans="1:6">
      <c r="A837" s="7"/>
      <c r="B837" s="7" t="s">
        <v>977</v>
      </c>
      <c r="C837" s="7" t="s">
        <v>169</v>
      </c>
      <c r="D837" s="69">
        <f>配合比!M14</f>
        <v>135.50093</v>
      </c>
      <c r="E837" s="7">
        <v>35.3</v>
      </c>
      <c r="F837" s="69">
        <f>D837*E837</f>
        <v>4783.182829</v>
      </c>
    </row>
    <row r="838" customHeight="1" spans="1:6">
      <c r="A838" s="7"/>
      <c r="B838" s="7" t="s">
        <v>952</v>
      </c>
      <c r="C838" s="9" t="s">
        <v>845</v>
      </c>
      <c r="D838" s="34">
        <f>F836+F837</f>
        <v>12693.182829</v>
      </c>
      <c r="E838" s="7">
        <v>0.5</v>
      </c>
      <c r="F838" s="69">
        <f>D838*E838/100</f>
        <v>63.465914145</v>
      </c>
    </row>
    <row r="839" customHeight="1" spans="1:6">
      <c r="A839" s="7" t="s">
        <v>83</v>
      </c>
      <c r="B839" s="7" t="s">
        <v>859</v>
      </c>
      <c r="C839" s="7"/>
      <c r="D839" s="7"/>
      <c r="E839" s="7"/>
      <c r="F839" s="250">
        <f>F840+F841</f>
        <v>280.924382568807</v>
      </c>
    </row>
    <row r="840" customHeight="1" spans="1:6">
      <c r="A840" s="7"/>
      <c r="B840" s="7" t="s">
        <v>978</v>
      </c>
      <c r="C840" s="7" t="s">
        <v>428</v>
      </c>
      <c r="D840" s="69">
        <f>D802</f>
        <v>23.9179521340247</v>
      </c>
      <c r="E840" s="7">
        <v>6.35</v>
      </c>
      <c r="F840" s="69">
        <f>D840*E840</f>
        <v>151.878996051057</v>
      </c>
    </row>
    <row r="841" customHeight="1" spans="1:6">
      <c r="A841" s="7"/>
      <c r="B841" s="7" t="s">
        <v>967</v>
      </c>
      <c r="C841" s="7" t="s">
        <v>428</v>
      </c>
      <c r="D841" s="69">
        <f>D803</f>
        <v>0.813242919824491</v>
      </c>
      <c r="E841" s="7">
        <v>158.68</v>
      </c>
      <c r="F841" s="69">
        <f>D841*E841</f>
        <v>129.04538651775</v>
      </c>
    </row>
    <row r="842" customHeight="1" spans="1:6">
      <c r="A842" s="7" t="s">
        <v>564</v>
      </c>
      <c r="B842" s="7" t="s">
        <v>846</v>
      </c>
      <c r="C842" s="230">
        <f>取费表!$C$6</f>
        <v>0.048</v>
      </c>
      <c r="D842" s="69"/>
      <c r="E842" s="34">
        <f>F831</f>
        <v>19599.0321257138</v>
      </c>
      <c r="F842" s="69">
        <f>E842*C842</f>
        <v>940.753542034263</v>
      </c>
    </row>
    <row r="843" customHeight="1" spans="1:6">
      <c r="A843" s="7"/>
      <c r="B843" s="7"/>
      <c r="C843" s="230"/>
      <c r="D843" s="69"/>
      <c r="E843" s="34"/>
      <c r="F843" s="69"/>
    </row>
    <row r="844" customHeight="1" spans="1:6">
      <c r="A844" s="7" t="s">
        <v>439</v>
      </c>
      <c r="B844" s="7" t="s">
        <v>847</v>
      </c>
      <c r="C844" s="230">
        <f>取费表!$E$6</f>
        <v>0.085</v>
      </c>
      <c r="D844" s="69"/>
      <c r="E844" s="34">
        <f>F830</f>
        <v>20539.7856677481</v>
      </c>
      <c r="F844" s="69">
        <f>E844*C844</f>
        <v>1745.88178175859</v>
      </c>
    </row>
    <row r="845" customHeight="1" spans="1:6">
      <c r="A845" s="7" t="s">
        <v>83</v>
      </c>
      <c r="B845" s="7" t="s">
        <v>848</v>
      </c>
      <c r="C845" s="230">
        <f>取费表!$F$6</f>
        <v>0.07</v>
      </c>
      <c r="D845" s="69"/>
      <c r="E845" s="34">
        <f>F844+F830</f>
        <v>22285.6674495067</v>
      </c>
      <c r="F845" s="69">
        <f>E845*C845</f>
        <v>1559.99672146547</v>
      </c>
    </row>
    <row r="846" customHeight="1" spans="1:6">
      <c r="A846" s="7" t="s">
        <v>121</v>
      </c>
      <c r="B846" s="7" t="s">
        <v>861</v>
      </c>
      <c r="C846" s="9"/>
      <c r="D846" s="69"/>
      <c r="E846" s="7"/>
      <c r="F846" s="69">
        <f>SUM(F847:F849)</f>
        <v>6518.54289248321</v>
      </c>
    </row>
    <row r="847" customHeight="1" spans="1:6">
      <c r="A847" s="7"/>
      <c r="B847" s="7" t="s">
        <v>966</v>
      </c>
      <c r="C847" s="7" t="s">
        <v>169</v>
      </c>
      <c r="D847" s="69">
        <f>材料预算价!K9-材料预算价!L9</f>
        <v>35.8416212815534</v>
      </c>
      <c r="E847" s="7">
        <f>E836</f>
        <v>113</v>
      </c>
      <c r="F847" s="69">
        <f>E847*D847</f>
        <v>4050.10320481553</v>
      </c>
    </row>
    <row r="848" customHeight="1" spans="1:6">
      <c r="A848" s="7"/>
      <c r="B848" s="7" t="s">
        <v>979</v>
      </c>
      <c r="C848" s="7" t="s">
        <v>200</v>
      </c>
      <c r="D848" s="69">
        <f>D810</f>
        <v>141.58936</v>
      </c>
      <c r="E848" s="38">
        <f>E837*配合比!E14</f>
        <v>7.923438</v>
      </c>
      <c r="F848" s="69">
        <f>E848*D848</f>
        <v>1121.87451541968</v>
      </c>
    </row>
    <row r="849" customHeight="1" spans="1:6">
      <c r="A849" s="7"/>
      <c r="B849" s="7" t="s">
        <v>961</v>
      </c>
      <c r="C849" s="7" t="s">
        <v>169</v>
      </c>
      <c r="D849" s="69">
        <f>D811</f>
        <v>34.366056</v>
      </c>
      <c r="E849" s="38">
        <f>E837*配合比!G14</f>
        <v>39.183</v>
      </c>
      <c r="F849" s="69">
        <f>E849*D849</f>
        <v>1346.565172248</v>
      </c>
    </row>
    <row r="850" customHeight="1" spans="1:6">
      <c r="A850" s="7" t="s">
        <v>135</v>
      </c>
      <c r="B850" s="7" t="s">
        <v>849</v>
      </c>
      <c r="C850" s="231">
        <f>C812</f>
        <v>0.09</v>
      </c>
      <c r="D850" s="69"/>
      <c r="E850" s="34">
        <f>F846+F845+F844+F830</f>
        <v>30364.2070634554</v>
      </c>
      <c r="F850" s="69">
        <f>E850*C850</f>
        <v>2732.77863571098</v>
      </c>
    </row>
    <row r="851" customHeight="1" spans="1:6">
      <c r="A851" s="7"/>
      <c r="B851" s="7" t="s">
        <v>850</v>
      </c>
      <c r="C851" s="231"/>
      <c r="D851" s="69"/>
      <c r="E851" s="34"/>
      <c r="F851" s="69">
        <f>(F830+F844+F845+F846+F850)*取费表!H4</f>
        <v>992.909570974991</v>
      </c>
    </row>
    <row r="852" customHeight="1" spans="1:6">
      <c r="A852" s="7"/>
      <c r="B852" s="7" t="s">
        <v>156</v>
      </c>
      <c r="C852" s="7"/>
      <c r="D852" s="69"/>
      <c r="E852" s="7"/>
      <c r="F852" s="69">
        <f>E850+F850+F851</f>
        <v>34089.8952701413</v>
      </c>
    </row>
    <row r="853" customHeight="1" spans="1:6">
      <c r="A853" s="7"/>
      <c r="B853" s="7"/>
      <c r="C853" s="7"/>
      <c r="D853" s="69"/>
      <c r="E853" s="7"/>
      <c r="F853" s="69"/>
    </row>
    <row r="854" customHeight="1" spans="1:6">
      <c r="A854" s="7"/>
      <c r="B854" s="7"/>
      <c r="C854" s="7"/>
      <c r="D854" s="69"/>
      <c r="E854" s="7"/>
      <c r="F854" s="69"/>
    </row>
    <row r="855" customHeight="1" spans="1:6">
      <c r="A855" s="7"/>
      <c r="B855" s="7"/>
      <c r="C855" s="7"/>
      <c r="D855" s="69"/>
      <c r="E855" s="7"/>
      <c r="F855" s="69"/>
    </row>
    <row r="856" customHeight="1" spans="1:6">
      <c r="A856" s="7"/>
      <c r="B856" s="7"/>
      <c r="C856" s="7"/>
      <c r="D856" s="69"/>
      <c r="E856" s="7"/>
      <c r="F856" s="69"/>
    </row>
    <row r="857" customHeight="1" spans="1:6">
      <c r="A857" s="7"/>
      <c r="B857" s="7"/>
      <c r="C857" s="7"/>
      <c r="D857" s="69"/>
      <c r="E857" s="7"/>
      <c r="F857" s="69"/>
    </row>
    <row r="858" customHeight="1" spans="1:6">
      <c r="A858" s="7"/>
      <c r="B858" s="7"/>
      <c r="C858" s="7"/>
      <c r="D858" s="69"/>
      <c r="E858" s="7"/>
      <c r="F858" s="69"/>
    </row>
    <row r="859" customHeight="1" spans="1:6">
      <c r="A859" s="7"/>
      <c r="B859" s="7"/>
      <c r="C859" s="7"/>
      <c r="D859" s="69"/>
      <c r="E859" s="7"/>
      <c r="F859" s="69"/>
    </row>
    <row r="860" customHeight="1" spans="1:6">
      <c r="A860" s="7"/>
      <c r="B860" s="7"/>
      <c r="C860" s="7"/>
      <c r="D860" s="69"/>
      <c r="E860" s="7"/>
      <c r="F860" s="69"/>
    </row>
    <row r="861" customHeight="1" spans="1:6">
      <c r="A861" s="7"/>
      <c r="B861" s="7"/>
      <c r="C861" s="7"/>
      <c r="D861" s="69"/>
      <c r="E861" s="7"/>
      <c r="F861" s="69"/>
    </row>
    <row r="862" customHeight="1" spans="1:6">
      <c r="A862" s="7"/>
      <c r="B862" s="7"/>
      <c r="C862" s="7"/>
      <c r="D862" s="69"/>
      <c r="E862" s="7"/>
      <c r="F862" s="69"/>
    </row>
    <row r="863" customHeight="1" spans="1:6">
      <c r="A863" s="236" t="s">
        <v>828</v>
      </c>
      <c r="B863" s="236"/>
      <c r="C863" s="236"/>
      <c r="D863" s="236"/>
      <c r="E863" s="236"/>
      <c r="F863" s="236"/>
    </row>
    <row r="864" customHeight="1" spans="1:6">
      <c r="A864" s="226" t="s">
        <v>986</v>
      </c>
      <c r="B864" s="226"/>
      <c r="C864" s="226"/>
      <c r="D864" s="226"/>
      <c r="E864" s="226"/>
      <c r="F864" s="226"/>
    </row>
    <row r="865" customHeight="1" spans="1:6">
      <c r="A865" s="228" t="s">
        <v>987</v>
      </c>
      <c r="B865" s="228"/>
      <c r="C865" s="229"/>
      <c r="D865" s="229"/>
      <c r="E865" s="228" t="s">
        <v>832</v>
      </c>
      <c r="F865" s="228"/>
    </row>
    <row r="866" customHeight="1" spans="1:6">
      <c r="A866" s="146" t="s">
        <v>959</v>
      </c>
      <c r="B866" s="233"/>
      <c r="C866" s="233"/>
      <c r="D866" s="233"/>
      <c r="E866" s="233"/>
      <c r="F866" s="147"/>
    </row>
    <row r="867" customHeight="1" spans="1:6">
      <c r="A867" s="7" t="s">
        <v>104</v>
      </c>
      <c r="B867" s="7" t="s">
        <v>835</v>
      </c>
      <c r="C867" s="7" t="s">
        <v>159</v>
      </c>
      <c r="D867" s="7" t="s">
        <v>422</v>
      </c>
      <c r="E867" s="7" t="s">
        <v>160</v>
      </c>
      <c r="F867" s="7" t="s">
        <v>18</v>
      </c>
    </row>
    <row r="868" customHeight="1" spans="1:6">
      <c r="A868" s="7" t="s">
        <v>836</v>
      </c>
      <c r="B868" s="7" t="s">
        <v>837</v>
      </c>
      <c r="C868" s="7"/>
      <c r="D868" s="7"/>
      <c r="E868" s="7"/>
      <c r="F868" s="34">
        <f>F869+F880+F881</f>
        <v>18885.7733797481</v>
      </c>
    </row>
    <row r="869" customHeight="1" spans="1:6">
      <c r="A869" s="7" t="s">
        <v>539</v>
      </c>
      <c r="B869" s="7" t="s">
        <v>838</v>
      </c>
      <c r="C869" s="7"/>
      <c r="D869" s="7"/>
      <c r="E869" s="7"/>
      <c r="F869" s="34">
        <f>F870+F873+F877</f>
        <v>18020.7761257138</v>
      </c>
    </row>
    <row r="870" s="218" customFormat="1" customHeight="1" spans="1:6">
      <c r="A870" s="7" t="s">
        <v>836</v>
      </c>
      <c r="B870" s="7" t="s">
        <v>839</v>
      </c>
      <c r="C870" s="7" t="s">
        <v>840</v>
      </c>
      <c r="D870" s="69"/>
      <c r="E870" s="42">
        <f>SUM(E871:E872)</f>
        <v>742.9</v>
      </c>
      <c r="F870" s="69">
        <f>SUM(F871:F872)</f>
        <v>4983.203</v>
      </c>
    </row>
    <row r="871" s="217" customFormat="1" customHeight="1" spans="1:6">
      <c r="A871" s="7"/>
      <c r="B871" s="7" t="s">
        <v>841</v>
      </c>
      <c r="C871" s="7" t="s">
        <v>840</v>
      </c>
      <c r="D871" s="69">
        <f>D833</f>
        <v>8.1</v>
      </c>
      <c r="E871" s="42">
        <v>299</v>
      </c>
      <c r="F871" s="69">
        <f>D871*E871</f>
        <v>2421.9</v>
      </c>
    </row>
    <row r="872" s="217" customFormat="1" customHeight="1" spans="1:6">
      <c r="A872" s="7"/>
      <c r="B872" s="7" t="s">
        <v>842</v>
      </c>
      <c r="C872" s="7" t="s">
        <v>840</v>
      </c>
      <c r="D872" s="69">
        <f>D834</f>
        <v>5.77</v>
      </c>
      <c r="E872" s="42">
        <v>443.9</v>
      </c>
      <c r="F872" s="69">
        <f>D872*E872</f>
        <v>2561.303</v>
      </c>
    </row>
    <row r="873" customHeight="1" spans="1:6">
      <c r="A873" s="7" t="s">
        <v>46</v>
      </c>
      <c r="B873" s="7" t="s">
        <v>912</v>
      </c>
      <c r="C873" s="7"/>
      <c r="D873" s="7"/>
      <c r="E873" s="7"/>
      <c r="F873" s="250">
        <f>SUM(F874:F876)</f>
        <v>12756.648743145</v>
      </c>
    </row>
    <row r="874" customHeight="1" spans="1:6">
      <c r="A874" s="7"/>
      <c r="B874" s="7" t="s">
        <v>966</v>
      </c>
      <c r="C874" s="7" t="s">
        <v>169</v>
      </c>
      <c r="D874" s="7">
        <f>材料预算价!L9</f>
        <v>70</v>
      </c>
      <c r="E874" s="7">
        <v>113</v>
      </c>
      <c r="F874" s="69">
        <f>D874*E874</f>
        <v>7910</v>
      </c>
    </row>
    <row r="875" customHeight="1" spans="1:6">
      <c r="A875" s="7"/>
      <c r="B875" s="7" t="s">
        <v>977</v>
      </c>
      <c r="C875" s="7" t="s">
        <v>169</v>
      </c>
      <c r="D875" s="69">
        <f>配合比!M14</f>
        <v>135.50093</v>
      </c>
      <c r="E875" s="7">
        <v>35.3</v>
      </c>
      <c r="F875" s="69">
        <f>D875*E875</f>
        <v>4783.182829</v>
      </c>
    </row>
    <row r="876" customHeight="1" spans="1:6">
      <c r="A876" s="7"/>
      <c r="B876" s="7" t="s">
        <v>952</v>
      </c>
      <c r="C876" s="9" t="s">
        <v>845</v>
      </c>
      <c r="D876" s="34">
        <f>F874+F875</f>
        <v>12693.182829</v>
      </c>
      <c r="E876" s="7">
        <v>0.5</v>
      </c>
      <c r="F876" s="69">
        <f>D876*E876/100</f>
        <v>63.465914145</v>
      </c>
    </row>
    <row r="877" customHeight="1" spans="1:6">
      <c r="A877" s="7" t="s">
        <v>83</v>
      </c>
      <c r="B877" s="7" t="s">
        <v>859</v>
      </c>
      <c r="C877" s="7"/>
      <c r="D877" s="7"/>
      <c r="E877" s="7"/>
      <c r="F877" s="250">
        <f>SUM(F878:F879)</f>
        <v>280.924382568807</v>
      </c>
    </row>
    <row r="878" customHeight="1" spans="1:6">
      <c r="A878" s="7"/>
      <c r="B878" s="7" t="s">
        <v>978</v>
      </c>
      <c r="C878" s="7" t="s">
        <v>428</v>
      </c>
      <c r="D878" s="69">
        <f>D840</f>
        <v>23.9179521340247</v>
      </c>
      <c r="E878" s="7">
        <v>6.35</v>
      </c>
      <c r="F878" s="69">
        <f>D878*E878</f>
        <v>151.878996051057</v>
      </c>
    </row>
    <row r="879" customHeight="1" spans="1:6">
      <c r="A879" s="7"/>
      <c r="B879" s="7" t="s">
        <v>967</v>
      </c>
      <c r="C879" s="7" t="s">
        <v>428</v>
      </c>
      <c r="D879" s="69">
        <f>D841</f>
        <v>0.813242919824491</v>
      </c>
      <c r="E879" s="7">
        <v>158.68</v>
      </c>
      <c r="F879" s="69">
        <f>D879*E879</f>
        <v>129.04538651775</v>
      </c>
    </row>
    <row r="880" customHeight="1" spans="1:6">
      <c r="A880" s="7" t="s">
        <v>564</v>
      </c>
      <c r="B880" s="7" t="s">
        <v>846</v>
      </c>
      <c r="C880" s="230">
        <f>取费表!$C$6</f>
        <v>0.048</v>
      </c>
      <c r="D880" s="69"/>
      <c r="E880" s="34">
        <f>F869</f>
        <v>18020.7761257138</v>
      </c>
      <c r="F880" s="69">
        <f>E880*C880</f>
        <v>864.997254034263</v>
      </c>
    </row>
    <row r="881" customHeight="1" spans="1:6">
      <c r="A881" s="7"/>
      <c r="B881" s="7"/>
      <c r="C881" s="230"/>
      <c r="D881" s="69"/>
      <c r="E881" s="34"/>
      <c r="F881" s="69"/>
    </row>
    <row r="882" customHeight="1" spans="1:6">
      <c r="A882" s="7" t="s">
        <v>439</v>
      </c>
      <c r="B882" s="7" t="s">
        <v>847</v>
      </c>
      <c r="C882" s="230">
        <f>取费表!$E$6</f>
        <v>0.085</v>
      </c>
      <c r="D882" s="69"/>
      <c r="E882" s="34">
        <f>F868</f>
        <v>18885.7733797481</v>
      </c>
      <c r="F882" s="69">
        <f>E882*C882</f>
        <v>1605.29073727859</v>
      </c>
    </row>
    <row r="883" customHeight="1" spans="1:6">
      <c r="A883" s="7" t="s">
        <v>83</v>
      </c>
      <c r="B883" s="7" t="s">
        <v>848</v>
      </c>
      <c r="C883" s="230">
        <f>取费表!$F$6</f>
        <v>0.07</v>
      </c>
      <c r="D883" s="69"/>
      <c r="E883" s="34">
        <f>F868+F882</f>
        <v>20491.0641170267</v>
      </c>
      <c r="F883" s="69">
        <f>E883*C883</f>
        <v>1434.37448819187</v>
      </c>
    </row>
    <row r="884" customHeight="1" spans="1:6">
      <c r="A884" s="7" t="s">
        <v>121</v>
      </c>
      <c r="B884" s="7" t="s">
        <v>861</v>
      </c>
      <c r="C884" s="9"/>
      <c r="D884" s="69"/>
      <c r="E884" s="7"/>
      <c r="F884" s="69">
        <f>SUM(F885:F887)</f>
        <v>6518.54289248321</v>
      </c>
    </row>
    <row r="885" customHeight="1" spans="1:6">
      <c r="A885" s="7"/>
      <c r="B885" s="7" t="s">
        <v>966</v>
      </c>
      <c r="C885" s="7" t="s">
        <v>169</v>
      </c>
      <c r="D885" s="69">
        <f>材料预算价!K9-材料预算价!L9</f>
        <v>35.8416212815534</v>
      </c>
      <c r="E885" s="7">
        <f>E874</f>
        <v>113</v>
      </c>
      <c r="F885" s="69">
        <f>E885*D885</f>
        <v>4050.10320481553</v>
      </c>
    </row>
    <row r="886" customHeight="1" spans="1:6">
      <c r="A886" s="7"/>
      <c r="B886" s="7" t="s">
        <v>979</v>
      </c>
      <c r="C886" s="7" t="s">
        <v>200</v>
      </c>
      <c r="D886" s="69">
        <f>D848</f>
        <v>141.58936</v>
      </c>
      <c r="E886" s="38">
        <f>E875*配合比!E14</f>
        <v>7.923438</v>
      </c>
      <c r="F886" s="69">
        <f>E886*D886</f>
        <v>1121.87451541968</v>
      </c>
    </row>
    <row r="887" customHeight="1" spans="1:6">
      <c r="A887" s="7"/>
      <c r="B887" s="7" t="s">
        <v>961</v>
      </c>
      <c r="C887" s="7" t="s">
        <v>169</v>
      </c>
      <c r="D887" s="69">
        <f>D849</f>
        <v>34.366056</v>
      </c>
      <c r="E887" s="38">
        <f>E875*配合比!G14</f>
        <v>39.183</v>
      </c>
      <c r="F887" s="69">
        <f>E887*D887</f>
        <v>1346.565172248</v>
      </c>
    </row>
    <row r="888" customHeight="1" spans="1:6">
      <c r="A888" s="7" t="s">
        <v>135</v>
      </c>
      <c r="B888" s="7" t="s">
        <v>849</v>
      </c>
      <c r="C888" s="231">
        <f>C850</f>
        <v>0.09</v>
      </c>
      <c r="D888" s="69"/>
      <c r="E888" s="34">
        <f>F884+F883+F882+F868</f>
        <v>28443.9814977018</v>
      </c>
      <c r="F888" s="69">
        <f>E888*C888</f>
        <v>2559.95833479316</v>
      </c>
    </row>
    <row r="889" customHeight="1" spans="1:6">
      <c r="A889" s="7"/>
      <c r="B889" s="7" t="s">
        <v>850</v>
      </c>
      <c r="C889" s="231"/>
      <c r="D889" s="69"/>
      <c r="E889" s="34"/>
      <c r="F889" s="69">
        <f>(F868+F882+F883+F884+F888)*取费表!H4</f>
        <v>930.118194974848</v>
      </c>
    </row>
    <row r="890" customHeight="1" spans="1:6">
      <c r="A890" s="7"/>
      <c r="B890" s="7" t="s">
        <v>156</v>
      </c>
      <c r="C890" s="7"/>
      <c r="D890" s="69"/>
      <c r="E890" s="7"/>
      <c r="F890" s="69">
        <f>E888+F888+F889</f>
        <v>31934.0580274698</v>
      </c>
    </row>
    <row r="891" customHeight="1" spans="1:6">
      <c r="A891" s="7"/>
      <c r="B891" s="7"/>
      <c r="C891" s="7"/>
      <c r="D891" s="69"/>
      <c r="E891" s="7"/>
      <c r="F891" s="69"/>
    </row>
    <row r="892" customHeight="1" spans="1:6">
      <c r="A892" s="7"/>
      <c r="B892" s="7"/>
      <c r="C892" s="7"/>
      <c r="D892" s="69"/>
      <c r="E892" s="7"/>
      <c r="F892" s="69"/>
    </row>
    <row r="893" customHeight="1" spans="1:6">
      <c r="A893" s="7"/>
      <c r="B893" s="7"/>
      <c r="C893" s="7"/>
      <c r="D893" s="69"/>
      <c r="E893" s="7"/>
      <c r="F893" s="69"/>
    </row>
    <row r="894" customHeight="1" spans="1:6">
      <c r="A894" s="7"/>
      <c r="B894" s="7"/>
      <c r="C894" s="7"/>
      <c r="D894" s="69"/>
      <c r="E894" s="7"/>
      <c r="F894" s="69"/>
    </row>
    <row r="895" customHeight="1" spans="1:6">
      <c r="A895" s="7"/>
      <c r="B895" s="7"/>
      <c r="C895" s="7"/>
      <c r="D895" s="69"/>
      <c r="E895" s="7"/>
      <c r="F895" s="69"/>
    </row>
    <row r="896" customHeight="1" spans="1:6">
      <c r="A896" s="7"/>
      <c r="B896" s="7"/>
      <c r="C896" s="7"/>
      <c r="D896" s="69"/>
      <c r="E896" s="7"/>
      <c r="F896" s="69"/>
    </row>
    <row r="897" customHeight="1" spans="1:6">
      <c r="A897" s="7"/>
      <c r="B897" s="7"/>
      <c r="C897" s="7"/>
      <c r="D897" s="69"/>
      <c r="E897" s="7"/>
      <c r="F897" s="69"/>
    </row>
    <row r="898" customHeight="1" spans="1:6">
      <c r="A898" s="7"/>
      <c r="B898" s="7"/>
      <c r="C898" s="7"/>
      <c r="D898" s="69"/>
      <c r="E898" s="7"/>
      <c r="F898" s="69"/>
    </row>
    <row r="899" customHeight="1" spans="1:6">
      <c r="A899" s="7"/>
      <c r="B899" s="7"/>
      <c r="C899" s="7"/>
      <c r="D899" s="69"/>
      <c r="E899" s="7"/>
      <c r="F899" s="69"/>
    </row>
    <row r="900" customHeight="1" spans="1:6">
      <c r="A900" s="7"/>
      <c r="B900" s="7"/>
      <c r="C900" s="7"/>
      <c r="D900" s="69"/>
      <c r="E900" s="7"/>
      <c r="F900" s="69"/>
    </row>
    <row r="901" customHeight="1" spans="1:12">
      <c r="A901" s="236" t="s">
        <v>828</v>
      </c>
      <c r="B901" s="236"/>
      <c r="C901" s="236"/>
      <c r="D901" s="236"/>
      <c r="E901" s="236"/>
      <c r="F901" s="236"/>
      <c r="G901" s="236" t="s">
        <v>828</v>
      </c>
      <c r="H901" s="236"/>
      <c r="I901" s="236"/>
      <c r="J901" s="236"/>
      <c r="K901" s="236"/>
      <c r="L901" s="236"/>
    </row>
    <row r="902" customHeight="1" spans="1:12">
      <c r="A902" s="226" t="s">
        <v>988</v>
      </c>
      <c r="B902" s="226"/>
      <c r="C902" s="226"/>
      <c r="D902" s="226"/>
      <c r="E902" s="226"/>
      <c r="F902" s="226"/>
      <c r="G902" s="226" t="s">
        <v>989</v>
      </c>
      <c r="H902" s="226"/>
      <c r="I902" s="226"/>
      <c r="J902" s="226"/>
      <c r="K902" s="226"/>
      <c r="L902" s="226"/>
    </row>
    <row r="903" customHeight="1" spans="1:12">
      <c r="A903" s="227" t="s">
        <v>990</v>
      </c>
      <c r="B903" s="228"/>
      <c r="C903" s="229"/>
      <c r="D903" s="229"/>
      <c r="E903" s="228" t="s">
        <v>832</v>
      </c>
      <c r="F903" s="228"/>
      <c r="G903" s="227" t="s">
        <v>990</v>
      </c>
      <c r="H903" s="228"/>
      <c r="I903" s="229"/>
      <c r="J903" s="229"/>
      <c r="K903" s="228" t="s">
        <v>832</v>
      </c>
      <c r="L903" s="228"/>
    </row>
    <row r="904" customHeight="1" spans="1:12">
      <c r="A904" s="232" t="s">
        <v>959</v>
      </c>
      <c r="B904" s="233"/>
      <c r="C904" s="234"/>
      <c r="D904" s="234"/>
      <c r="E904" s="234"/>
      <c r="F904" s="235"/>
      <c r="G904" s="232" t="s">
        <v>959</v>
      </c>
      <c r="H904" s="233"/>
      <c r="I904" s="234"/>
      <c r="J904" s="234"/>
      <c r="K904" s="234"/>
      <c r="L904" s="235"/>
    </row>
    <row r="905" customHeight="1" spans="1:12">
      <c r="A905" s="7" t="s">
        <v>104</v>
      </c>
      <c r="B905" s="7" t="s">
        <v>835</v>
      </c>
      <c r="C905" s="7" t="s">
        <v>159</v>
      </c>
      <c r="D905" s="7" t="s">
        <v>422</v>
      </c>
      <c r="E905" s="7" t="s">
        <v>160</v>
      </c>
      <c r="F905" s="7" t="s">
        <v>18</v>
      </c>
      <c r="G905" s="7" t="s">
        <v>104</v>
      </c>
      <c r="H905" s="7" t="s">
        <v>835</v>
      </c>
      <c r="I905" s="7" t="s">
        <v>159</v>
      </c>
      <c r="J905" s="7" t="s">
        <v>422</v>
      </c>
      <c r="K905" s="7" t="s">
        <v>160</v>
      </c>
      <c r="L905" s="7" t="s">
        <v>18</v>
      </c>
    </row>
    <row r="906" customHeight="1" spans="1:12">
      <c r="A906" s="7" t="s">
        <v>836</v>
      </c>
      <c r="B906" s="7" t="s">
        <v>837</v>
      </c>
      <c r="C906" s="7"/>
      <c r="D906" s="7"/>
      <c r="E906" s="7"/>
      <c r="F906" s="34">
        <f>F907+F918+F919</f>
        <v>18096.8327528858</v>
      </c>
      <c r="G906" s="7" t="s">
        <v>836</v>
      </c>
      <c r="H906" s="7" t="s">
        <v>837</v>
      </c>
      <c r="I906" s="7"/>
      <c r="J906" s="7"/>
      <c r="K906" s="7"/>
      <c r="L906" s="34">
        <f>L907+L918+L919</f>
        <v>18096.8327528858</v>
      </c>
    </row>
    <row r="907" customHeight="1" spans="1:12">
      <c r="A907" s="7" t="s">
        <v>539</v>
      </c>
      <c r="B907" s="7" t="s">
        <v>838</v>
      </c>
      <c r="C907" s="7"/>
      <c r="D907" s="7"/>
      <c r="E907" s="7"/>
      <c r="F907" s="34">
        <f>F908+F911+F915</f>
        <v>17267.9701840513</v>
      </c>
      <c r="G907" s="7" t="s">
        <v>539</v>
      </c>
      <c r="H907" s="7" t="s">
        <v>838</v>
      </c>
      <c r="I907" s="7"/>
      <c r="J907" s="7"/>
      <c r="K907" s="7"/>
      <c r="L907" s="34">
        <f>L908+L911+L915</f>
        <v>17267.9701840513</v>
      </c>
    </row>
    <row r="908" s="218" customFormat="1" customHeight="1" spans="1:12">
      <c r="A908" s="7" t="s">
        <v>836</v>
      </c>
      <c r="B908" s="7" t="s">
        <v>839</v>
      </c>
      <c r="C908" s="7" t="s">
        <v>840</v>
      </c>
      <c r="D908" s="69"/>
      <c r="E908" s="42">
        <f>SUM(E909:E910)</f>
        <v>664.5</v>
      </c>
      <c r="F908" s="69">
        <f>SUM(F909:F910)</f>
        <v>4415.5</v>
      </c>
      <c r="G908" s="7" t="s">
        <v>836</v>
      </c>
      <c r="H908" s="7" t="s">
        <v>839</v>
      </c>
      <c r="I908" s="7" t="s">
        <v>840</v>
      </c>
      <c r="J908" s="69"/>
      <c r="K908" s="42">
        <f>SUM(K909:K910)</f>
        <v>664.5</v>
      </c>
      <c r="L908" s="69">
        <f>SUM(L909:L910)</f>
        <v>4415.5</v>
      </c>
    </row>
    <row r="909" s="217" customFormat="1" customHeight="1" spans="1:12">
      <c r="A909" s="7"/>
      <c r="B909" s="7" t="s">
        <v>841</v>
      </c>
      <c r="C909" s="7" t="s">
        <v>840</v>
      </c>
      <c r="D909" s="69">
        <f>D871</f>
        <v>8.1</v>
      </c>
      <c r="E909" s="42">
        <v>249.5</v>
      </c>
      <c r="F909" s="69">
        <f>D909*E909</f>
        <v>2020.95</v>
      </c>
      <c r="G909" s="7"/>
      <c r="H909" s="7" t="s">
        <v>841</v>
      </c>
      <c r="I909" s="7" t="s">
        <v>840</v>
      </c>
      <c r="J909" s="69">
        <f>D909</f>
        <v>8.1</v>
      </c>
      <c r="K909" s="42">
        <v>249.5</v>
      </c>
      <c r="L909" s="69">
        <f t="shared" ref="L909:L913" si="41">J909*K909</f>
        <v>2020.95</v>
      </c>
    </row>
    <row r="910" s="217" customFormat="1" customHeight="1" spans="1:12">
      <c r="A910" s="7"/>
      <c r="B910" s="7" t="s">
        <v>842</v>
      </c>
      <c r="C910" s="7" t="s">
        <v>840</v>
      </c>
      <c r="D910" s="69">
        <f>D872</f>
        <v>5.77</v>
      </c>
      <c r="E910" s="42">
        <v>415</v>
      </c>
      <c r="F910" s="69">
        <f>D910*E910</f>
        <v>2394.55</v>
      </c>
      <c r="G910" s="7"/>
      <c r="H910" s="7" t="s">
        <v>842</v>
      </c>
      <c r="I910" s="7" t="s">
        <v>840</v>
      </c>
      <c r="J910" s="69">
        <f>D910</f>
        <v>5.77</v>
      </c>
      <c r="K910" s="42">
        <v>415</v>
      </c>
      <c r="L910" s="69">
        <f t="shared" si="41"/>
        <v>2394.55</v>
      </c>
    </row>
    <row r="911" customHeight="1" spans="1:12">
      <c r="A911" s="7" t="s">
        <v>46</v>
      </c>
      <c r="B911" s="7" t="s">
        <v>912</v>
      </c>
      <c r="C911" s="7"/>
      <c r="D911" s="7"/>
      <c r="E911" s="7"/>
      <c r="F911" s="250">
        <f>SUM(F912:F914)</f>
        <v>12579.6167781</v>
      </c>
      <c r="G911" s="7" t="s">
        <v>46</v>
      </c>
      <c r="H911" s="7" t="s">
        <v>912</v>
      </c>
      <c r="I911" s="7"/>
      <c r="J911" s="7"/>
      <c r="K911" s="7"/>
      <c r="L911" s="250">
        <f>SUM(L912:L914)</f>
        <v>12579.6167781</v>
      </c>
    </row>
    <row r="912" customHeight="1" spans="1:12">
      <c r="A912" s="7"/>
      <c r="B912" s="7" t="s">
        <v>966</v>
      </c>
      <c r="C912" s="7" t="s">
        <v>169</v>
      </c>
      <c r="D912" s="7">
        <f>材料预算价!L9</f>
        <v>70</v>
      </c>
      <c r="E912" s="7">
        <v>113</v>
      </c>
      <c r="F912" s="69">
        <f>D912*E912</f>
        <v>7910</v>
      </c>
      <c r="G912" s="7"/>
      <c r="H912" s="7" t="s">
        <v>966</v>
      </c>
      <c r="I912" s="7" t="s">
        <v>169</v>
      </c>
      <c r="J912" s="7">
        <f>D912</f>
        <v>70</v>
      </c>
      <c r="K912" s="7">
        <v>113</v>
      </c>
      <c r="L912" s="69">
        <f t="shared" si="41"/>
        <v>7910</v>
      </c>
    </row>
    <row r="913" customHeight="1" spans="1:12">
      <c r="A913" s="7"/>
      <c r="B913" s="7" t="s">
        <v>977</v>
      </c>
      <c r="C913" s="7" t="s">
        <v>169</v>
      </c>
      <c r="D913" s="69">
        <f>配合比!M14</f>
        <v>135.50093</v>
      </c>
      <c r="E913" s="7">
        <v>34</v>
      </c>
      <c r="F913" s="69">
        <f>D913*E913</f>
        <v>4607.03162</v>
      </c>
      <c r="G913" s="7"/>
      <c r="H913" s="7" t="s">
        <v>977</v>
      </c>
      <c r="I913" s="7" t="s">
        <v>169</v>
      </c>
      <c r="J913" s="69">
        <f>D913</f>
        <v>135.50093</v>
      </c>
      <c r="K913" s="7">
        <v>34</v>
      </c>
      <c r="L913" s="69">
        <f t="shared" si="41"/>
        <v>4607.03162</v>
      </c>
    </row>
    <row r="914" customHeight="1" spans="1:12">
      <c r="A914" s="7"/>
      <c r="B914" s="7" t="s">
        <v>952</v>
      </c>
      <c r="C914" s="9" t="s">
        <v>845</v>
      </c>
      <c r="D914" s="34">
        <f>F912+F913</f>
        <v>12517.03162</v>
      </c>
      <c r="E914" s="7">
        <v>0.5</v>
      </c>
      <c r="F914" s="69">
        <f>D914*E914/100</f>
        <v>62.5851581</v>
      </c>
      <c r="G914" s="7"/>
      <c r="H914" s="7" t="s">
        <v>952</v>
      </c>
      <c r="I914" s="9" t="s">
        <v>845</v>
      </c>
      <c r="J914" s="34">
        <f>L912+L913</f>
        <v>12517.03162</v>
      </c>
      <c r="K914" s="7">
        <v>0.5</v>
      </c>
      <c r="L914" s="69">
        <f>J914*K914/100</f>
        <v>62.5851581</v>
      </c>
    </row>
    <row r="915" customHeight="1" spans="1:12">
      <c r="A915" s="7" t="s">
        <v>83</v>
      </c>
      <c r="B915" s="7" t="s">
        <v>859</v>
      </c>
      <c r="C915" s="7"/>
      <c r="D915" s="7"/>
      <c r="E915" s="7"/>
      <c r="F915" s="250">
        <f>SUM(F916:F917)</f>
        <v>272.853405951336</v>
      </c>
      <c r="G915" s="7" t="s">
        <v>83</v>
      </c>
      <c r="H915" s="7" t="s">
        <v>859</v>
      </c>
      <c r="I915" s="7"/>
      <c r="J915" s="7"/>
      <c r="K915" s="7"/>
      <c r="L915" s="250">
        <f>SUM(L916:L917)</f>
        <v>272.853405951336</v>
      </c>
    </row>
    <row r="916" customHeight="1" spans="1:12">
      <c r="A916" s="7"/>
      <c r="B916" s="7" t="s">
        <v>978</v>
      </c>
      <c r="C916" s="7" t="s">
        <v>428</v>
      </c>
      <c r="D916" s="69">
        <f>D878</f>
        <v>23.9179521340247</v>
      </c>
      <c r="E916" s="7">
        <v>6.12</v>
      </c>
      <c r="F916" s="69">
        <f>D916*E916</f>
        <v>146.377867060231</v>
      </c>
      <c r="G916" s="7"/>
      <c r="H916" s="7" t="s">
        <v>978</v>
      </c>
      <c r="I916" s="7" t="s">
        <v>428</v>
      </c>
      <c r="J916" s="69">
        <f>D916</f>
        <v>23.9179521340247</v>
      </c>
      <c r="K916" s="7">
        <v>6.12</v>
      </c>
      <c r="L916" s="69">
        <f>J916*K916</f>
        <v>146.377867060231</v>
      </c>
    </row>
    <row r="917" customHeight="1" spans="1:12">
      <c r="A917" s="7"/>
      <c r="B917" s="7" t="s">
        <v>967</v>
      </c>
      <c r="C917" s="7" t="s">
        <v>428</v>
      </c>
      <c r="D917" s="69">
        <f>D879</f>
        <v>0.813242919824491</v>
      </c>
      <c r="E917" s="7">
        <v>155.52</v>
      </c>
      <c r="F917" s="69">
        <f>D917*E917</f>
        <v>126.475538891105</v>
      </c>
      <c r="G917" s="7"/>
      <c r="H917" s="7" t="s">
        <v>967</v>
      </c>
      <c r="I917" s="7" t="s">
        <v>428</v>
      </c>
      <c r="J917" s="69">
        <f>D917</f>
        <v>0.813242919824491</v>
      </c>
      <c r="K917" s="7">
        <v>155.52</v>
      </c>
      <c r="L917" s="69">
        <f>J917*K917</f>
        <v>126.475538891105</v>
      </c>
    </row>
    <row r="918" customHeight="1" spans="1:12">
      <c r="A918" s="7" t="s">
        <v>564</v>
      </c>
      <c r="B918" s="7" t="s">
        <v>846</v>
      </c>
      <c r="C918" s="230">
        <f>取费表!$C$6</f>
        <v>0.048</v>
      </c>
      <c r="D918" s="69"/>
      <c r="E918" s="34">
        <f>F907</f>
        <v>17267.9701840513</v>
      </c>
      <c r="F918" s="69">
        <f>E918*C918</f>
        <v>828.862568834464</v>
      </c>
      <c r="G918" s="7" t="s">
        <v>564</v>
      </c>
      <c r="H918" s="7" t="s">
        <v>846</v>
      </c>
      <c r="I918" s="230">
        <f>取费表!$C$6</f>
        <v>0.048</v>
      </c>
      <c r="J918" s="69"/>
      <c r="K918" s="34">
        <f>L907</f>
        <v>17267.9701840513</v>
      </c>
      <c r="L918" s="69">
        <f t="shared" ref="L918:L921" si="42">K918*I918</f>
        <v>828.862568834464</v>
      </c>
    </row>
    <row r="919" customHeight="1" spans="1:12">
      <c r="A919" s="7"/>
      <c r="B919" s="7"/>
      <c r="C919" s="230"/>
      <c r="D919" s="69"/>
      <c r="E919" s="34"/>
      <c r="F919" s="69"/>
      <c r="G919" s="7"/>
      <c r="H919" s="7"/>
      <c r="I919" s="230"/>
      <c r="J919" s="69"/>
      <c r="K919" s="34"/>
      <c r="L919" s="69"/>
    </row>
    <row r="920" customHeight="1" spans="1:12">
      <c r="A920" s="7" t="s">
        <v>439</v>
      </c>
      <c r="B920" s="7" t="s">
        <v>847</v>
      </c>
      <c r="C920" s="230">
        <f>取费表!$E$6</f>
        <v>0.085</v>
      </c>
      <c r="D920" s="69"/>
      <c r="E920" s="34">
        <f>F906</f>
        <v>18096.8327528858</v>
      </c>
      <c r="F920" s="69">
        <f>E920*C920</f>
        <v>1538.23078399529</v>
      </c>
      <c r="G920" s="7" t="s">
        <v>439</v>
      </c>
      <c r="H920" s="7" t="s">
        <v>847</v>
      </c>
      <c r="I920" s="230">
        <f>取费表!$E$6</f>
        <v>0.085</v>
      </c>
      <c r="J920" s="69"/>
      <c r="K920" s="34">
        <f>L906</f>
        <v>18096.8327528858</v>
      </c>
      <c r="L920" s="69">
        <f t="shared" si="42"/>
        <v>1538.23078399529</v>
      </c>
    </row>
    <row r="921" customHeight="1" spans="1:12">
      <c r="A921" s="7" t="s">
        <v>83</v>
      </c>
      <c r="B921" s="7" t="s">
        <v>848</v>
      </c>
      <c r="C921" s="230">
        <f>取费表!$F$6</f>
        <v>0.07</v>
      </c>
      <c r="D921" s="69"/>
      <c r="E921" s="34">
        <f>F906+F920</f>
        <v>19635.0635368811</v>
      </c>
      <c r="F921" s="69">
        <f>E921*C921</f>
        <v>1374.45444758168</v>
      </c>
      <c r="G921" s="7" t="s">
        <v>83</v>
      </c>
      <c r="H921" s="7" t="s">
        <v>848</v>
      </c>
      <c r="I921" s="230">
        <f>取费表!$F$6</f>
        <v>0.07</v>
      </c>
      <c r="J921" s="69"/>
      <c r="K921" s="34">
        <f>L906+L920</f>
        <v>19635.0635368811</v>
      </c>
      <c r="L921" s="69">
        <f t="shared" si="42"/>
        <v>1374.45444758168</v>
      </c>
    </row>
    <row r="922" customHeight="1" spans="1:12">
      <c r="A922" s="7" t="s">
        <v>121</v>
      </c>
      <c r="B922" s="7" t="s">
        <v>861</v>
      </c>
      <c r="C922" s="9"/>
      <c r="D922" s="69"/>
      <c r="E922" s="7"/>
      <c r="F922" s="69">
        <f>SUM(F923:F925)</f>
        <v>6427.63718160593</v>
      </c>
      <c r="G922" s="7" t="s">
        <v>121</v>
      </c>
      <c r="H922" s="7" t="s">
        <v>861</v>
      </c>
      <c r="I922" s="9"/>
      <c r="J922" s="69"/>
      <c r="K922" s="7"/>
      <c r="L922" s="69">
        <f>SUM(L923:L925)</f>
        <v>7371.29023076993</v>
      </c>
    </row>
    <row r="923" customHeight="1" spans="1:12">
      <c r="A923" s="7"/>
      <c r="B923" s="7" t="s">
        <v>966</v>
      </c>
      <c r="C923" s="7" t="s">
        <v>169</v>
      </c>
      <c r="D923" s="69">
        <f>材料预算价!K9-材料预算价!L9</f>
        <v>35.8416212815534</v>
      </c>
      <c r="E923" s="7">
        <f>E912</f>
        <v>113</v>
      </c>
      <c r="F923" s="69">
        <f>E923*D923</f>
        <v>4050.10320481553</v>
      </c>
      <c r="G923" s="7"/>
      <c r="H923" s="7" t="s">
        <v>966</v>
      </c>
      <c r="I923" s="7" t="s">
        <v>169</v>
      </c>
      <c r="J923" s="69">
        <f>D923</f>
        <v>35.8416212815534</v>
      </c>
      <c r="K923" s="7">
        <f>K912</f>
        <v>113</v>
      </c>
      <c r="L923" s="69">
        <f t="shared" ref="L923:L925" si="43">K923*J923</f>
        <v>4050.10320481553</v>
      </c>
    </row>
    <row r="924" customHeight="1" spans="1:12">
      <c r="A924" s="7"/>
      <c r="B924" s="7" t="s">
        <v>979</v>
      </c>
      <c r="C924" s="7" t="s">
        <v>200</v>
      </c>
      <c r="D924" s="69">
        <f>D886</f>
        <v>141.58936</v>
      </c>
      <c r="E924" s="38">
        <f>E913*配合比!E14</f>
        <v>7.63164</v>
      </c>
      <c r="F924" s="69">
        <f>E924*D924</f>
        <v>1080.5590233504</v>
      </c>
      <c r="G924" s="7"/>
      <c r="H924" s="7" t="s">
        <v>983</v>
      </c>
      <c r="I924" s="7" t="s">
        <v>200</v>
      </c>
      <c r="J924" s="69">
        <f>材料预算价!K6-材料预算价!L6</f>
        <v>265.23946</v>
      </c>
      <c r="K924" s="38">
        <f>E924</f>
        <v>7.63164</v>
      </c>
      <c r="L924" s="69">
        <f t="shared" si="43"/>
        <v>2024.2120725144</v>
      </c>
    </row>
    <row r="925" customHeight="1" spans="1:12">
      <c r="A925" s="7"/>
      <c r="B925" s="7" t="s">
        <v>961</v>
      </c>
      <c r="C925" s="7" t="s">
        <v>169</v>
      </c>
      <c r="D925" s="69">
        <f>D887</f>
        <v>34.366056</v>
      </c>
      <c r="E925" s="38">
        <f>E913*配合比!G14</f>
        <v>37.74</v>
      </c>
      <c r="F925" s="69">
        <f>E925*D925</f>
        <v>1296.97495344</v>
      </c>
      <c r="G925" s="7"/>
      <c r="H925" s="7" t="s">
        <v>961</v>
      </c>
      <c r="I925" s="7" t="s">
        <v>169</v>
      </c>
      <c r="J925" s="69">
        <f>D925</f>
        <v>34.366056</v>
      </c>
      <c r="K925" s="38">
        <f>E925</f>
        <v>37.74</v>
      </c>
      <c r="L925" s="69">
        <f t="shared" si="43"/>
        <v>1296.97495344</v>
      </c>
    </row>
    <row r="926" customHeight="1" spans="1:12">
      <c r="A926" s="7" t="s">
        <v>135</v>
      </c>
      <c r="B926" s="7" t="s">
        <v>849</v>
      </c>
      <c r="C926" s="231">
        <f>C888</f>
        <v>0.09</v>
      </c>
      <c r="D926" s="69"/>
      <c r="E926" s="247">
        <f>F922+F921+F920+F906</f>
        <v>27437.1551660687</v>
      </c>
      <c r="F926" s="69">
        <f>E926*C926</f>
        <v>2469.34396494618</v>
      </c>
      <c r="G926" s="7" t="s">
        <v>135</v>
      </c>
      <c r="H926" s="7" t="s">
        <v>849</v>
      </c>
      <c r="I926" s="231">
        <f>C926</f>
        <v>0.09</v>
      </c>
      <c r="J926" s="69"/>
      <c r="K926" s="247">
        <f>L922+L921+L920+L906</f>
        <v>28380.8082152327</v>
      </c>
      <c r="L926" s="69">
        <f>K926*I926</f>
        <v>2554.27273937094</v>
      </c>
    </row>
    <row r="927" customHeight="1" spans="1:12">
      <c r="A927" s="7"/>
      <c r="B927" s="7" t="s">
        <v>850</v>
      </c>
      <c r="C927" s="231"/>
      <c r="D927" s="69"/>
      <c r="E927" s="247"/>
      <c r="F927" s="69">
        <f>(F906+F920+F921+F922+F926)*取费表!H4</f>
        <v>897.194973930447</v>
      </c>
      <c r="G927" s="7"/>
      <c r="H927" s="7" t="s">
        <v>850</v>
      </c>
      <c r="I927" s="231"/>
      <c r="J927" s="69"/>
      <c r="K927" s="247"/>
      <c r="L927" s="69">
        <f>(L906+L920+L921+L922+L926)*取费表!H6</f>
        <v>928.052428638109</v>
      </c>
    </row>
    <row r="928" customHeight="1" spans="1:12">
      <c r="A928" s="7"/>
      <c r="B928" s="7" t="s">
        <v>156</v>
      </c>
      <c r="C928" s="7"/>
      <c r="D928" s="7"/>
      <c r="E928" s="7"/>
      <c r="F928" s="69">
        <f>E926+F926+F927</f>
        <v>30803.6941049453</v>
      </c>
      <c r="G928" s="7"/>
      <c r="H928" s="7" t="s">
        <v>156</v>
      </c>
      <c r="I928" s="7"/>
      <c r="J928" s="7"/>
      <c r="K928" s="7"/>
      <c r="L928" s="69">
        <f>K926+L926+L927</f>
        <v>31863.1333832418</v>
      </c>
    </row>
    <row r="929" customHeight="1" spans="1:12">
      <c r="A929" s="7"/>
      <c r="B929" s="7"/>
      <c r="C929" s="7"/>
      <c r="D929" s="7"/>
      <c r="E929" s="7"/>
      <c r="F929" s="69"/>
      <c r="G929" s="7"/>
      <c r="H929" s="7"/>
      <c r="I929" s="7"/>
      <c r="J929" s="7"/>
      <c r="K929" s="7"/>
      <c r="L929" s="69"/>
    </row>
    <row r="930" customHeight="1" spans="1:12">
      <c r="A930" s="7"/>
      <c r="B930" s="7"/>
      <c r="C930" s="7"/>
      <c r="D930" s="7"/>
      <c r="E930" s="7"/>
      <c r="F930" s="69"/>
      <c r="G930" s="7"/>
      <c r="H930" s="7"/>
      <c r="I930" s="7"/>
      <c r="J930" s="7"/>
      <c r="K930" s="7"/>
      <c r="L930" s="69"/>
    </row>
    <row r="931" customHeight="1" spans="1:12">
      <c r="A931" s="7"/>
      <c r="B931" s="7"/>
      <c r="C931" s="7"/>
      <c r="D931" s="7"/>
      <c r="E931" s="7"/>
      <c r="F931" s="69"/>
      <c r="G931" s="7"/>
      <c r="H931" s="7"/>
      <c r="I931" s="7"/>
      <c r="J931" s="7"/>
      <c r="K931" s="7"/>
      <c r="L931" s="69"/>
    </row>
    <row r="932" customHeight="1" spans="1:12">
      <c r="A932" s="7"/>
      <c r="B932" s="7"/>
      <c r="C932" s="7"/>
      <c r="D932" s="7"/>
      <c r="E932" s="7"/>
      <c r="F932" s="69"/>
      <c r="G932" s="7"/>
      <c r="H932" s="7"/>
      <c r="I932" s="7"/>
      <c r="J932" s="7"/>
      <c r="K932" s="7"/>
      <c r="L932" s="69"/>
    </row>
    <row r="933" customHeight="1" spans="1:12">
      <c r="A933" s="7"/>
      <c r="B933" s="7"/>
      <c r="C933" s="7"/>
      <c r="D933" s="7"/>
      <c r="E933" s="7"/>
      <c r="F933" s="69"/>
      <c r="G933" s="7"/>
      <c r="H933" s="7"/>
      <c r="I933" s="7"/>
      <c r="J933" s="7"/>
      <c r="K933" s="7"/>
      <c r="L933" s="69"/>
    </row>
    <row r="934" customHeight="1" spans="1:12">
      <c r="A934" s="7"/>
      <c r="B934" s="7"/>
      <c r="C934" s="7"/>
      <c r="D934" s="7"/>
      <c r="E934" s="7"/>
      <c r="F934" s="69"/>
      <c r="G934" s="7"/>
      <c r="H934" s="7"/>
      <c r="I934" s="7"/>
      <c r="J934" s="7"/>
      <c r="K934" s="7"/>
      <c r="L934" s="69"/>
    </row>
    <row r="935" customHeight="1" spans="1:12">
      <c r="A935" s="7"/>
      <c r="B935" s="7"/>
      <c r="C935" s="7"/>
      <c r="D935" s="7"/>
      <c r="E935" s="7"/>
      <c r="F935" s="69"/>
      <c r="G935" s="7"/>
      <c r="H935" s="7"/>
      <c r="I935" s="7"/>
      <c r="J935" s="7"/>
      <c r="K935" s="7"/>
      <c r="L935" s="69"/>
    </row>
    <row r="936" customHeight="1" spans="1:12">
      <c r="A936" s="7"/>
      <c r="B936" s="7"/>
      <c r="C936" s="7"/>
      <c r="D936" s="7"/>
      <c r="E936" s="7"/>
      <c r="F936" s="69"/>
      <c r="G936" s="7"/>
      <c r="H936" s="7"/>
      <c r="I936" s="7"/>
      <c r="J936" s="7"/>
      <c r="K936" s="7"/>
      <c r="L936" s="69"/>
    </row>
    <row r="937" customHeight="1" spans="1:12">
      <c r="A937" s="7"/>
      <c r="B937" s="7"/>
      <c r="C937" s="7"/>
      <c r="D937" s="7"/>
      <c r="E937" s="7"/>
      <c r="F937" s="69"/>
      <c r="G937" s="7"/>
      <c r="H937" s="7"/>
      <c r="I937" s="7"/>
      <c r="J937" s="7"/>
      <c r="K937" s="7"/>
      <c r="L937" s="69"/>
    </row>
    <row r="938" customHeight="1" spans="1:12">
      <c r="A938" s="7"/>
      <c r="B938" s="7"/>
      <c r="C938" s="7"/>
      <c r="D938" s="7"/>
      <c r="E938" s="7"/>
      <c r="F938" s="69"/>
      <c r="G938" s="7"/>
      <c r="H938" s="7"/>
      <c r="I938" s="7"/>
      <c r="J938" s="7"/>
      <c r="K938" s="7"/>
      <c r="L938" s="69"/>
    </row>
    <row r="939" customHeight="1" spans="1:12">
      <c r="A939" s="236" t="s">
        <v>828</v>
      </c>
      <c r="B939" s="236"/>
      <c r="C939" s="236"/>
      <c r="D939" s="236"/>
      <c r="E939" s="236"/>
      <c r="F939" s="236"/>
      <c r="G939" s="236" t="s">
        <v>828</v>
      </c>
      <c r="H939" s="236"/>
      <c r="I939" s="236"/>
      <c r="J939" s="236"/>
      <c r="K939" s="236"/>
      <c r="L939" s="236"/>
    </row>
    <row r="940" customHeight="1" spans="1:12">
      <c r="A940" s="226" t="s">
        <v>991</v>
      </c>
      <c r="B940" s="226"/>
      <c r="C940" s="226"/>
      <c r="D940" s="226"/>
      <c r="E940" s="226"/>
      <c r="F940" s="226"/>
      <c r="G940" s="226" t="s">
        <v>992</v>
      </c>
      <c r="H940" s="226"/>
      <c r="I940" s="226"/>
      <c r="J940" s="226"/>
      <c r="K940" s="226"/>
      <c r="L940" s="226"/>
    </row>
    <row r="941" customHeight="1" spans="1:12">
      <c r="A941" s="227" t="s">
        <v>993</v>
      </c>
      <c r="B941" s="228"/>
      <c r="C941" s="229"/>
      <c r="D941" s="229"/>
      <c r="E941" s="228" t="s">
        <v>832</v>
      </c>
      <c r="F941" s="228"/>
      <c r="G941" s="227" t="s">
        <v>993</v>
      </c>
      <c r="H941" s="228"/>
      <c r="I941" s="229"/>
      <c r="J941" s="229"/>
      <c r="K941" s="228" t="s">
        <v>832</v>
      </c>
      <c r="L941" s="228"/>
    </row>
    <row r="942" customHeight="1" spans="1:12">
      <c r="A942" s="232" t="s">
        <v>959</v>
      </c>
      <c r="B942" s="233"/>
      <c r="C942" s="234"/>
      <c r="D942" s="234"/>
      <c r="E942" s="234"/>
      <c r="F942" s="235"/>
      <c r="G942" s="232" t="s">
        <v>959</v>
      </c>
      <c r="H942" s="233"/>
      <c r="I942" s="234"/>
      <c r="J942" s="234"/>
      <c r="K942" s="234"/>
      <c r="L942" s="235"/>
    </row>
    <row r="943" customHeight="1" spans="1:12">
      <c r="A943" s="7" t="s">
        <v>104</v>
      </c>
      <c r="B943" s="7" t="s">
        <v>835</v>
      </c>
      <c r="C943" s="7" t="s">
        <v>159</v>
      </c>
      <c r="D943" s="7" t="s">
        <v>422</v>
      </c>
      <c r="E943" s="7" t="s">
        <v>160</v>
      </c>
      <c r="F943" s="7" t="s">
        <v>18</v>
      </c>
      <c r="G943" s="7" t="s">
        <v>104</v>
      </c>
      <c r="H943" s="7" t="s">
        <v>835</v>
      </c>
      <c r="I943" s="7" t="s">
        <v>159</v>
      </c>
      <c r="J943" s="7" t="s">
        <v>422</v>
      </c>
      <c r="K943" s="7" t="s">
        <v>160</v>
      </c>
      <c r="L943" s="7" t="s">
        <v>18</v>
      </c>
    </row>
    <row r="944" customHeight="1" spans="1:12">
      <c r="A944" s="7" t="s">
        <v>836</v>
      </c>
      <c r="B944" s="7" t="s">
        <v>837</v>
      </c>
      <c r="C944" s="7"/>
      <c r="D944" s="7"/>
      <c r="E944" s="7"/>
      <c r="F944" s="34">
        <f>F945+F956+F957</f>
        <v>19275.3436741048</v>
      </c>
      <c r="G944" s="7" t="s">
        <v>836</v>
      </c>
      <c r="H944" s="7" t="s">
        <v>837</v>
      </c>
      <c r="I944" s="7"/>
      <c r="J944" s="7"/>
      <c r="K944" s="7"/>
      <c r="L944" s="34">
        <f>L945+L956+L957</f>
        <v>19275.3436741048</v>
      </c>
    </row>
    <row r="945" customHeight="1" spans="1:12">
      <c r="A945" s="7" t="s">
        <v>539</v>
      </c>
      <c r="B945" s="7" t="s">
        <v>838</v>
      </c>
      <c r="C945" s="7"/>
      <c r="D945" s="7"/>
      <c r="E945" s="7"/>
      <c r="F945" s="34">
        <f>F946+F949+F953</f>
        <v>18392.5035058252</v>
      </c>
      <c r="G945" s="7" t="s">
        <v>539</v>
      </c>
      <c r="H945" s="7" t="s">
        <v>838</v>
      </c>
      <c r="I945" s="7"/>
      <c r="J945" s="7"/>
      <c r="K945" s="7"/>
      <c r="L945" s="34">
        <f>L946+L949+L953</f>
        <v>18392.5035058252</v>
      </c>
    </row>
    <row r="946" s="218" customFormat="1" customHeight="1" spans="1:12">
      <c r="A946" s="7" t="s">
        <v>836</v>
      </c>
      <c r="B946" s="7" t="s">
        <v>839</v>
      </c>
      <c r="C946" s="7" t="s">
        <v>840</v>
      </c>
      <c r="D946" s="69"/>
      <c r="E946" s="42">
        <f>SUM(E947:E948)</f>
        <v>810.3</v>
      </c>
      <c r="F946" s="69">
        <f>SUM(F947:F948)</f>
        <v>5482.31</v>
      </c>
      <c r="G946" s="7" t="s">
        <v>836</v>
      </c>
      <c r="H946" s="7" t="s">
        <v>839</v>
      </c>
      <c r="I946" s="7" t="s">
        <v>840</v>
      </c>
      <c r="J946" s="69"/>
      <c r="K946" s="42">
        <f>SUM(K947:K948)</f>
        <v>810.3</v>
      </c>
      <c r="L946" s="69">
        <f>SUM(L947:L948)</f>
        <v>5482.31</v>
      </c>
    </row>
    <row r="947" s="217" customFormat="1" customHeight="1" spans="1:12">
      <c r="A947" s="7"/>
      <c r="B947" s="7" t="s">
        <v>841</v>
      </c>
      <c r="C947" s="7" t="s">
        <v>840</v>
      </c>
      <c r="D947" s="69">
        <f>D909</f>
        <v>8.1</v>
      </c>
      <c r="E947" s="42">
        <v>346.3</v>
      </c>
      <c r="F947" s="69">
        <f>D947*E947</f>
        <v>2805.03</v>
      </c>
      <c r="G947" s="7"/>
      <c r="H947" s="7" t="s">
        <v>841</v>
      </c>
      <c r="I947" s="7" t="s">
        <v>840</v>
      </c>
      <c r="J947" s="69">
        <f>J909</f>
        <v>8.1</v>
      </c>
      <c r="K947" s="42">
        <v>346.3</v>
      </c>
      <c r="L947" s="69">
        <f t="shared" ref="L947:L951" si="44">J947*K947</f>
        <v>2805.03</v>
      </c>
    </row>
    <row r="948" s="217" customFormat="1" customHeight="1" spans="1:12">
      <c r="A948" s="7"/>
      <c r="B948" s="7" t="s">
        <v>842</v>
      </c>
      <c r="C948" s="7" t="s">
        <v>840</v>
      </c>
      <c r="D948" s="69">
        <f>D910</f>
        <v>5.77</v>
      </c>
      <c r="E948" s="42">
        <v>464</v>
      </c>
      <c r="F948" s="69">
        <f>D948*E948</f>
        <v>2677.28</v>
      </c>
      <c r="G948" s="7"/>
      <c r="H948" s="7" t="s">
        <v>842</v>
      </c>
      <c r="I948" s="7" t="s">
        <v>840</v>
      </c>
      <c r="J948" s="69">
        <f>J910</f>
        <v>5.77</v>
      </c>
      <c r="K948" s="42">
        <v>464</v>
      </c>
      <c r="L948" s="69">
        <f t="shared" si="44"/>
        <v>2677.28</v>
      </c>
    </row>
    <row r="949" customHeight="1" spans="1:12">
      <c r="A949" s="7" t="s">
        <v>46</v>
      </c>
      <c r="B949" s="7" t="s">
        <v>912</v>
      </c>
      <c r="C949" s="7"/>
      <c r="D949" s="7"/>
      <c r="E949" s="7"/>
      <c r="F949" s="250">
        <f>SUM(F950:F952)</f>
        <v>12634.08815196</v>
      </c>
      <c r="G949" s="7" t="s">
        <v>46</v>
      </c>
      <c r="H949" s="7" t="s">
        <v>912</v>
      </c>
      <c r="I949" s="7"/>
      <c r="J949" s="7"/>
      <c r="K949" s="7"/>
      <c r="L949" s="250">
        <f>SUM(L950:L952)</f>
        <v>12634.08815196</v>
      </c>
    </row>
    <row r="950" customHeight="1" spans="1:12">
      <c r="A950" s="7"/>
      <c r="B950" s="7" t="s">
        <v>966</v>
      </c>
      <c r="C950" s="7" t="s">
        <v>169</v>
      </c>
      <c r="D950" s="7">
        <f>材料预算价!L9</f>
        <v>70</v>
      </c>
      <c r="E950" s="7">
        <v>113</v>
      </c>
      <c r="F950" s="69">
        <f>D950*E950</f>
        <v>7910</v>
      </c>
      <c r="G950" s="7"/>
      <c r="H950" s="7" t="s">
        <v>966</v>
      </c>
      <c r="I950" s="7" t="s">
        <v>169</v>
      </c>
      <c r="J950" s="7">
        <f>D950</f>
        <v>70</v>
      </c>
      <c r="K950" s="7">
        <v>113</v>
      </c>
      <c r="L950" s="69">
        <f t="shared" si="44"/>
        <v>7910</v>
      </c>
    </row>
    <row r="951" customHeight="1" spans="1:12">
      <c r="A951" s="7"/>
      <c r="B951" s="7" t="s">
        <v>977</v>
      </c>
      <c r="C951" s="7" t="s">
        <v>169</v>
      </c>
      <c r="D951" s="69">
        <f>配合比!M14</f>
        <v>135.50093</v>
      </c>
      <c r="E951" s="7">
        <v>34.4</v>
      </c>
      <c r="F951" s="69">
        <f>D951*E951</f>
        <v>4661.231992</v>
      </c>
      <c r="G951" s="7"/>
      <c r="H951" s="7" t="s">
        <v>977</v>
      </c>
      <c r="I951" s="7" t="s">
        <v>169</v>
      </c>
      <c r="J951" s="69">
        <f>D951</f>
        <v>135.50093</v>
      </c>
      <c r="K951" s="7">
        <v>34.4</v>
      </c>
      <c r="L951" s="69">
        <f t="shared" si="44"/>
        <v>4661.231992</v>
      </c>
    </row>
    <row r="952" customHeight="1" spans="1:12">
      <c r="A952" s="7"/>
      <c r="B952" s="7" t="s">
        <v>952</v>
      </c>
      <c r="C952" s="9" t="s">
        <v>845</v>
      </c>
      <c r="D952" s="34">
        <f>F950+F951</f>
        <v>12571.231992</v>
      </c>
      <c r="E952" s="7">
        <v>0.5</v>
      </c>
      <c r="F952" s="69">
        <f>D952*E952/100</f>
        <v>62.85615996</v>
      </c>
      <c r="G952" s="7"/>
      <c r="H952" s="7" t="s">
        <v>952</v>
      </c>
      <c r="I952" s="9" t="s">
        <v>845</v>
      </c>
      <c r="J952" s="34">
        <f>L950+L951</f>
        <v>12571.231992</v>
      </c>
      <c r="K952" s="7">
        <v>0.5</v>
      </c>
      <c r="L952" s="69">
        <f>J952*K952/100</f>
        <v>62.85615996</v>
      </c>
    </row>
    <row r="953" customHeight="1" spans="1:12">
      <c r="A953" s="7" t="s">
        <v>83</v>
      </c>
      <c r="B953" s="7" t="s">
        <v>859</v>
      </c>
      <c r="C953" s="7"/>
      <c r="D953" s="7"/>
      <c r="E953" s="7"/>
      <c r="F953" s="250">
        <f>SUM(F954:F955)</f>
        <v>276.105353865178</v>
      </c>
      <c r="G953" s="7" t="s">
        <v>83</v>
      </c>
      <c r="H953" s="7" t="s">
        <v>859</v>
      </c>
      <c r="I953" s="7"/>
      <c r="J953" s="7"/>
      <c r="K953" s="7"/>
      <c r="L953" s="250">
        <f>SUM(L954:L955)</f>
        <v>276.105353865178</v>
      </c>
    </row>
    <row r="954" customHeight="1" spans="1:12">
      <c r="A954" s="7"/>
      <c r="B954" s="7" t="s">
        <v>978</v>
      </c>
      <c r="C954" s="7" t="s">
        <v>428</v>
      </c>
      <c r="D954" s="69">
        <f>D916</f>
        <v>23.9179521340247</v>
      </c>
      <c r="E954" s="7">
        <v>6.19</v>
      </c>
      <c r="F954" s="69">
        <f>D954*E954</f>
        <v>148.052123709613</v>
      </c>
      <c r="G954" s="7"/>
      <c r="H954" s="7" t="s">
        <v>978</v>
      </c>
      <c r="I954" s="7" t="s">
        <v>428</v>
      </c>
      <c r="J954" s="69">
        <f>J916</f>
        <v>23.9179521340247</v>
      </c>
      <c r="K954" s="7">
        <v>6.19</v>
      </c>
      <c r="L954" s="69">
        <f>J954*K954</f>
        <v>148.052123709613</v>
      </c>
    </row>
    <row r="955" customHeight="1" spans="1:12">
      <c r="A955" s="7"/>
      <c r="B955" s="7" t="s">
        <v>967</v>
      </c>
      <c r="C955" s="7" t="s">
        <v>428</v>
      </c>
      <c r="D955" s="69">
        <f>D917</f>
        <v>0.813242919824491</v>
      </c>
      <c r="E955" s="7">
        <v>157.46</v>
      </c>
      <c r="F955" s="69">
        <f>D955*E955</f>
        <v>128.053230155564</v>
      </c>
      <c r="G955" s="7"/>
      <c r="H955" s="7" t="s">
        <v>967</v>
      </c>
      <c r="I955" s="7" t="s">
        <v>428</v>
      </c>
      <c r="J955" s="69">
        <f>J917</f>
        <v>0.813242919824491</v>
      </c>
      <c r="K955" s="7">
        <v>157.46</v>
      </c>
      <c r="L955" s="69">
        <f>J955*K955</f>
        <v>128.053230155564</v>
      </c>
    </row>
    <row r="956" customHeight="1" spans="1:12">
      <c r="A956" s="7" t="s">
        <v>564</v>
      </c>
      <c r="B956" s="7" t="s">
        <v>846</v>
      </c>
      <c r="C956" s="230">
        <f>取费表!$C$6</f>
        <v>0.048</v>
      </c>
      <c r="D956" s="69"/>
      <c r="E956" s="34">
        <f>F945</f>
        <v>18392.5035058252</v>
      </c>
      <c r="F956" s="69">
        <f>E956*C956</f>
        <v>882.840168279609</v>
      </c>
      <c r="G956" s="7" t="s">
        <v>564</v>
      </c>
      <c r="H956" s="7" t="s">
        <v>846</v>
      </c>
      <c r="I956" s="230">
        <f>取费表!$C$6</f>
        <v>0.048</v>
      </c>
      <c r="J956" s="69"/>
      <c r="K956" s="34">
        <f>L945</f>
        <v>18392.5035058252</v>
      </c>
      <c r="L956" s="69">
        <f t="shared" ref="L956:L959" si="45">K956*I956</f>
        <v>882.840168279609</v>
      </c>
    </row>
    <row r="957" customHeight="1" spans="1:12">
      <c r="A957" s="7"/>
      <c r="B957" s="7"/>
      <c r="C957" s="230"/>
      <c r="D957" s="69"/>
      <c r="E957" s="34"/>
      <c r="F957" s="69"/>
      <c r="G957" s="7"/>
      <c r="H957" s="7"/>
      <c r="I957" s="230"/>
      <c r="J957" s="69"/>
      <c r="K957" s="34"/>
      <c r="L957" s="69"/>
    </row>
    <row r="958" customHeight="1" spans="1:12">
      <c r="A958" s="7" t="s">
        <v>439</v>
      </c>
      <c r="B958" s="7" t="s">
        <v>847</v>
      </c>
      <c r="C958" s="230">
        <f>取费表!$E$6</f>
        <v>0.085</v>
      </c>
      <c r="D958" s="69"/>
      <c r="E958" s="34">
        <f>F944</f>
        <v>19275.3436741048</v>
      </c>
      <c r="F958" s="69">
        <f>E958*C958</f>
        <v>1638.40421229891</v>
      </c>
      <c r="G958" s="7" t="s">
        <v>439</v>
      </c>
      <c r="H958" s="7" t="s">
        <v>847</v>
      </c>
      <c r="I958" s="230">
        <f>取费表!$E$6</f>
        <v>0.085</v>
      </c>
      <c r="J958" s="69"/>
      <c r="K958" s="34">
        <f>L944</f>
        <v>19275.3436741048</v>
      </c>
      <c r="L958" s="69">
        <f t="shared" si="45"/>
        <v>1638.40421229891</v>
      </c>
    </row>
    <row r="959" customHeight="1" spans="1:12">
      <c r="A959" s="7" t="s">
        <v>83</v>
      </c>
      <c r="B959" s="7" t="s">
        <v>848</v>
      </c>
      <c r="C959" s="230">
        <f>取费表!$F$6</f>
        <v>0.07</v>
      </c>
      <c r="D959" s="69"/>
      <c r="E959" s="34">
        <f>F944+F958</f>
        <v>20913.7478864037</v>
      </c>
      <c r="F959" s="69">
        <f>E959*C959</f>
        <v>1463.96235204826</v>
      </c>
      <c r="G959" s="7" t="s">
        <v>83</v>
      </c>
      <c r="H959" s="7" t="s">
        <v>848</v>
      </c>
      <c r="I959" s="230">
        <f>取费表!$F$6</f>
        <v>0.07</v>
      </c>
      <c r="J959" s="69"/>
      <c r="K959" s="34">
        <f>L944+L958</f>
        <v>20913.7478864037</v>
      </c>
      <c r="L959" s="69">
        <f t="shared" si="45"/>
        <v>1463.96235204826</v>
      </c>
    </row>
    <row r="960" customHeight="1" spans="1:12">
      <c r="A960" s="7" t="s">
        <v>121</v>
      </c>
      <c r="B960" s="7" t="s">
        <v>861</v>
      </c>
      <c r="C960" s="9"/>
      <c r="D960" s="69"/>
      <c r="E960" s="7"/>
      <c r="F960" s="69">
        <f>SUM(F961:F963)</f>
        <v>6455.60816956817</v>
      </c>
      <c r="G960" s="7" t="s">
        <v>121</v>
      </c>
      <c r="H960" s="7" t="s">
        <v>861</v>
      </c>
      <c r="I960" s="9"/>
      <c r="J960" s="69"/>
      <c r="K960" s="7"/>
      <c r="L960" s="69">
        <f>SUM(L961:L963)</f>
        <v>7410.36301931057</v>
      </c>
    </row>
    <row r="961" customHeight="1" spans="1:12">
      <c r="A961" s="7"/>
      <c r="B961" s="7" t="s">
        <v>966</v>
      </c>
      <c r="C961" s="7" t="s">
        <v>169</v>
      </c>
      <c r="D961" s="69">
        <f>材料预算价!K9-材料预算价!L9</f>
        <v>35.8416212815534</v>
      </c>
      <c r="E961" s="7">
        <f>E950</f>
        <v>113</v>
      </c>
      <c r="F961" s="69">
        <f>E961*D961</f>
        <v>4050.10320481553</v>
      </c>
      <c r="G961" s="7"/>
      <c r="H961" s="7" t="s">
        <v>966</v>
      </c>
      <c r="I961" s="7" t="s">
        <v>169</v>
      </c>
      <c r="J961" s="69">
        <f>D961</f>
        <v>35.8416212815534</v>
      </c>
      <c r="K961" s="7">
        <f>K950</f>
        <v>113</v>
      </c>
      <c r="L961" s="69">
        <f t="shared" ref="L961:L963" si="46">K961*J961</f>
        <v>4050.10320481553</v>
      </c>
    </row>
    <row r="962" customHeight="1" spans="1:12">
      <c r="A962" s="7"/>
      <c r="B962" s="7" t="s">
        <v>979</v>
      </c>
      <c r="C962" s="7" t="s">
        <v>200</v>
      </c>
      <c r="D962" s="69">
        <f>D924</f>
        <v>141.58936</v>
      </c>
      <c r="E962" s="38">
        <f>E951*配合比!E14</f>
        <v>7.721424</v>
      </c>
      <c r="F962" s="69">
        <f>E962*D962</f>
        <v>1093.27148244864</v>
      </c>
      <c r="G962" s="7"/>
      <c r="H962" s="7" t="s">
        <v>983</v>
      </c>
      <c r="I962" s="7" t="s">
        <v>200</v>
      </c>
      <c r="J962" s="69">
        <f>J924</f>
        <v>265.23946</v>
      </c>
      <c r="K962" s="38">
        <f>E962</f>
        <v>7.721424</v>
      </c>
      <c r="L962" s="69">
        <f t="shared" si="46"/>
        <v>2048.02633219104</v>
      </c>
    </row>
    <row r="963" customHeight="1" spans="1:12">
      <c r="A963" s="7"/>
      <c r="B963" s="7" t="s">
        <v>961</v>
      </c>
      <c r="C963" s="7" t="s">
        <v>169</v>
      </c>
      <c r="D963" s="69">
        <f>D925</f>
        <v>34.366056</v>
      </c>
      <c r="E963" s="38">
        <f>E951*配合比!G14</f>
        <v>38.184</v>
      </c>
      <c r="F963" s="69">
        <f>E963*D963</f>
        <v>1312.233482304</v>
      </c>
      <c r="G963" s="7"/>
      <c r="H963" s="7" t="s">
        <v>961</v>
      </c>
      <c r="I963" s="7" t="s">
        <v>169</v>
      </c>
      <c r="J963" s="69">
        <f>D963</f>
        <v>34.366056</v>
      </c>
      <c r="K963" s="38">
        <f>E963</f>
        <v>38.184</v>
      </c>
      <c r="L963" s="69">
        <f t="shared" si="46"/>
        <v>1312.233482304</v>
      </c>
    </row>
    <row r="964" customHeight="1" spans="1:12">
      <c r="A964" s="7" t="s">
        <v>135</v>
      </c>
      <c r="B964" s="7" t="s">
        <v>849</v>
      </c>
      <c r="C964" s="231">
        <f>C926</f>
        <v>0.09</v>
      </c>
      <c r="D964" s="69"/>
      <c r="E964" s="34">
        <f>F960+F959+F958+F944</f>
        <v>28833.3184080201</v>
      </c>
      <c r="F964" s="69">
        <f>E964*C964</f>
        <v>2594.99865672181</v>
      </c>
      <c r="G964" s="7" t="s">
        <v>135</v>
      </c>
      <c r="H964" s="7" t="s">
        <v>849</v>
      </c>
      <c r="I964" s="231">
        <f>I926</f>
        <v>0.09</v>
      </c>
      <c r="J964" s="69"/>
      <c r="K964" s="34">
        <f>L960+L959+L958+L944</f>
        <v>29788.0732577625</v>
      </c>
      <c r="L964" s="69">
        <f>K964*I964</f>
        <v>2680.92659319863</v>
      </c>
    </row>
    <row r="965" customHeight="1" spans="1:12">
      <c r="A965" s="7"/>
      <c r="B965" s="7" t="s">
        <v>850</v>
      </c>
      <c r="C965" s="231"/>
      <c r="D965" s="69"/>
      <c r="E965" s="34"/>
      <c r="F965" s="69">
        <f>(F944+F958+F959+F960+F964)*取费表!H4</f>
        <v>942.849511942258</v>
      </c>
      <c r="G965" s="7"/>
      <c r="H965" s="7" t="s">
        <v>850</v>
      </c>
      <c r="I965" s="231"/>
      <c r="J965" s="69"/>
      <c r="K965" s="34"/>
      <c r="L965" s="69">
        <f>(L944+L958+L959+L960+L964)*取费表!H6</f>
        <v>974.069995528835</v>
      </c>
    </row>
    <row r="966" customHeight="1" spans="1:12">
      <c r="A966" s="7"/>
      <c r="B966" s="7" t="s">
        <v>156</v>
      </c>
      <c r="C966" s="7"/>
      <c r="D966" s="69"/>
      <c r="E966" s="7"/>
      <c r="F966" s="69">
        <f>E964+F964+F965</f>
        <v>32371.1665766842</v>
      </c>
      <c r="G966" s="7"/>
      <c r="H966" s="7" t="s">
        <v>156</v>
      </c>
      <c r="I966" s="7"/>
      <c r="J966" s="69"/>
      <c r="K966" s="7"/>
      <c r="L966" s="69">
        <f>K964+L964+L965</f>
        <v>33443.06984649</v>
      </c>
    </row>
    <row r="967" customHeight="1" spans="1:12">
      <c r="A967" s="7"/>
      <c r="B967" s="7"/>
      <c r="C967" s="7"/>
      <c r="D967" s="69"/>
      <c r="E967" s="7"/>
      <c r="F967" s="69"/>
      <c r="G967" s="7"/>
      <c r="H967" s="7"/>
      <c r="I967" s="7"/>
      <c r="J967" s="69"/>
      <c r="K967" s="7"/>
      <c r="L967" s="69"/>
    </row>
    <row r="968" customHeight="1" spans="1:12">
      <c r="A968" s="7"/>
      <c r="B968" s="7"/>
      <c r="C968" s="7"/>
      <c r="D968" s="69"/>
      <c r="E968" s="7"/>
      <c r="F968" s="69"/>
      <c r="G968" s="7"/>
      <c r="H968" s="7"/>
      <c r="I968" s="7"/>
      <c r="J968" s="69"/>
      <c r="K968" s="7"/>
      <c r="L968" s="69"/>
    </row>
    <row r="969" customHeight="1" spans="1:12">
      <c r="A969" s="7"/>
      <c r="B969" s="7"/>
      <c r="C969" s="7"/>
      <c r="D969" s="69"/>
      <c r="E969" s="7"/>
      <c r="F969" s="69"/>
      <c r="G969" s="7"/>
      <c r="H969" s="7"/>
      <c r="I969" s="7"/>
      <c r="J969" s="69"/>
      <c r="K969" s="7"/>
      <c r="L969" s="69"/>
    </row>
    <row r="970" customHeight="1" spans="1:12">
      <c r="A970" s="7"/>
      <c r="B970" s="7"/>
      <c r="C970" s="7"/>
      <c r="D970" s="69"/>
      <c r="E970" s="7"/>
      <c r="F970" s="69"/>
      <c r="G970" s="7"/>
      <c r="H970" s="7"/>
      <c r="I970" s="7"/>
      <c r="J970" s="69"/>
      <c r="K970" s="7"/>
      <c r="L970" s="69"/>
    </row>
    <row r="971" customHeight="1" spans="1:12">
      <c r="A971" s="7"/>
      <c r="B971" s="7"/>
      <c r="C971" s="7"/>
      <c r="D971" s="69"/>
      <c r="E971" s="7"/>
      <c r="F971" s="69"/>
      <c r="G971" s="7"/>
      <c r="H971" s="7"/>
      <c r="I971" s="7"/>
      <c r="J971" s="69"/>
      <c r="K971" s="7"/>
      <c r="L971" s="69"/>
    </row>
    <row r="972" customHeight="1" spans="1:12">
      <c r="A972" s="7"/>
      <c r="B972" s="7"/>
      <c r="C972" s="7"/>
      <c r="D972" s="69"/>
      <c r="E972" s="7"/>
      <c r="F972" s="69"/>
      <c r="G972" s="7"/>
      <c r="H972" s="7"/>
      <c r="I972" s="7"/>
      <c r="J972" s="69"/>
      <c r="K972" s="7"/>
      <c r="L972" s="69"/>
    </row>
    <row r="973" customHeight="1" spans="1:12">
      <c r="A973" s="7"/>
      <c r="B973" s="7"/>
      <c r="C973" s="7"/>
      <c r="D973" s="69"/>
      <c r="E973" s="7"/>
      <c r="F973" s="69"/>
      <c r="G973" s="7"/>
      <c r="H973" s="7"/>
      <c r="I973" s="7"/>
      <c r="J973" s="69"/>
      <c r="K973" s="7"/>
      <c r="L973" s="69"/>
    </row>
    <row r="974" customHeight="1" spans="1:12">
      <c r="A974" s="7"/>
      <c r="B974" s="7"/>
      <c r="C974" s="7"/>
      <c r="D974" s="69"/>
      <c r="E974" s="7"/>
      <c r="F974" s="69"/>
      <c r="G974" s="7"/>
      <c r="H974" s="7"/>
      <c r="I974" s="7"/>
      <c r="J974" s="69"/>
      <c r="K974" s="7"/>
      <c r="L974" s="69"/>
    </row>
    <row r="975" customHeight="1" spans="1:12">
      <c r="A975" s="7"/>
      <c r="B975" s="7"/>
      <c r="C975" s="7"/>
      <c r="D975" s="69"/>
      <c r="E975" s="7"/>
      <c r="F975" s="69"/>
      <c r="G975" s="7"/>
      <c r="H975" s="7"/>
      <c r="I975" s="7"/>
      <c r="J975" s="69"/>
      <c r="K975" s="7"/>
      <c r="L975" s="69"/>
    </row>
    <row r="976" customHeight="1" spans="1:12">
      <c r="A976" s="7"/>
      <c r="B976" s="7"/>
      <c r="C976" s="7"/>
      <c r="D976" s="69"/>
      <c r="E976" s="7"/>
      <c r="F976" s="69"/>
      <c r="G976" s="7"/>
      <c r="H976" s="7"/>
      <c r="I976" s="7"/>
      <c r="J976" s="69"/>
      <c r="K976" s="7"/>
      <c r="L976" s="69"/>
    </row>
    <row r="977" ht="14.45" customHeight="1" spans="1:6">
      <c r="A977" s="236" t="s">
        <v>828</v>
      </c>
      <c r="B977" s="236"/>
      <c r="C977" s="236"/>
      <c r="D977" s="236"/>
      <c r="E977" s="236"/>
      <c r="F977" s="236"/>
    </row>
    <row r="978" ht="14.45" customHeight="1" spans="1:6">
      <c r="A978" s="271" t="s">
        <v>994</v>
      </c>
      <c r="B978" s="272"/>
      <c r="C978" s="272"/>
      <c r="D978" s="272"/>
      <c r="E978" s="272"/>
      <c r="F978" s="272"/>
    </row>
    <row r="979" ht="14.45" customHeight="1" spans="1:6">
      <c r="A979" s="227" t="s">
        <v>995</v>
      </c>
      <c r="B979" s="228"/>
      <c r="C979" s="272"/>
      <c r="D979" s="272"/>
      <c r="E979" s="228" t="s">
        <v>832</v>
      </c>
      <c r="F979" s="228"/>
    </row>
    <row r="980" ht="14.45" customHeight="1" spans="1:6">
      <c r="A980" s="146" t="s">
        <v>911</v>
      </c>
      <c r="B980" s="233"/>
      <c r="C980" s="233"/>
      <c r="D980" s="233"/>
      <c r="E980" s="233"/>
      <c r="F980" s="147"/>
    </row>
    <row r="981" ht="14.45" customHeight="1" spans="1:6">
      <c r="A981" s="7" t="s">
        <v>104</v>
      </c>
      <c r="B981" s="7" t="s">
        <v>835</v>
      </c>
      <c r="C981" s="7" t="s">
        <v>159</v>
      </c>
      <c r="D981" s="7" t="s">
        <v>422</v>
      </c>
      <c r="E981" s="7" t="s">
        <v>160</v>
      </c>
      <c r="F981" s="7" t="s">
        <v>18</v>
      </c>
    </row>
    <row r="982" ht="14.45" customHeight="1" spans="1:6">
      <c r="A982" s="7" t="s">
        <v>836</v>
      </c>
      <c r="B982" s="7" t="s">
        <v>837</v>
      </c>
      <c r="C982" s="7"/>
      <c r="D982" s="7"/>
      <c r="E982" s="7"/>
      <c r="F982" s="34">
        <f>F983+F1009+F1010</f>
        <v>32681.5889447091</v>
      </c>
    </row>
    <row r="983" ht="14.45" customHeight="1" spans="1:6">
      <c r="A983" s="7" t="s">
        <v>539</v>
      </c>
      <c r="B983" s="7" t="s">
        <v>838</v>
      </c>
      <c r="C983" s="7"/>
      <c r="D983" s="7"/>
      <c r="E983" s="7"/>
      <c r="F983" s="34">
        <f>F984+F987+F998+F1006</f>
        <v>31184.7222754858</v>
      </c>
    </row>
    <row r="984" ht="14.45" customHeight="1" spans="1:6">
      <c r="A984" s="7">
        <v>1</v>
      </c>
      <c r="B984" s="7" t="s">
        <v>839</v>
      </c>
      <c r="C984" s="7" t="s">
        <v>840</v>
      </c>
      <c r="D984" s="34"/>
      <c r="E984" s="42">
        <f>SUM(E985:E986)</f>
        <v>1168.3</v>
      </c>
      <c r="F984" s="69">
        <f>SUM(F985:F986)</f>
        <v>8482.766</v>
      </c>
    </row>
    <row r="985" s="217" customFormat="1" ht="14.45" customHeight="1" spans="1:6">
      <c r="A985" s="7"/>
      <c r="B985" s="7" t="s">
        <v>841</v>
      </c>
      <c r="C985" s="7" t="s">
        <v>840</v>
      </c>
      <c r="D985" s="69">
        <f>材料预算价!K29</f>
        <v>8.1</v>
      </c>
      <c r="E985" s="42">
        <v>747.5</v>
      </c>
      <c r="F985" s="69">
        <f>D985*E985</f>
        <v>6054.75</v>
      </c>
    </row>
    <row r="986" s="217" customFormat="1" ht="14.45" customHeight="1" spans="1:6">
      <c r="A986" s="7"/>
      <c r="B986" s="7" t="s">
        <v>842</v>
      </c>
      <c r="C986" s="7" t="s">
        <v>840</v>
      </c>
      <c r="D986" s="69">
        <f>材料预算价!K28</f>
        <v>5.77</v>
      </c>
      <c r="E986" s="42">
        <v>420.8</v>
      </c>
      <c r="F986" s="69">
        <f>D986*E986</f>
        <v>2428.016</v>
      </c>
    </row>
    <row r="987" ht="14.45" customHeight="1" spans="1:6">
      <c r="A987" s="7">
        <v>2</v>
      </c>
      <c r="B987" s="7" t="s">
        <v>912</v>
      </c>
      <c r="C987" s="7"/>
      <c r="D987" s="34"/>
      <c r="E987" s="34"/>
      <c r="F987" s="34">
        <f>SUM(F988:F997)</f>
        <v>19934.94734346</v>
      </c>
    </row>
    <row r="988" ht="14.45" customHeight="1" spans="1:6">
      <c r="A988" s="7"/>
      <c r="B988" s="273" t="s">
        <v>996</v>
      </c>
      <c r="C988" s="273" t="s">
        <v>169</v>
      </c>
      <c r="D988" s="34">
        <f>材料预算价!K10</f>
        <v>2238.008025</v>
      </c>
      <c r="E988" s="34">
        <v>0.18</v>
      </c>
      <c r="F988" s="34">
        <f t="shared" ref="F988:F996" si="47">D988*E988</f>
        <v>402.8414445</v>
      </c>
    </row>
    <row r="989" ht="14.45" customHeight="1" spans="1:6">
      <c r="A989" s="7"/>
      <c r="B989" s="273" t="s">
        <v>997</v>
      </c>
      <c r="C989" s="273" t="s">
        <v>863</v>
      </c>
      <c r="D989" s="34">
        <f>基础材料表!D34</f>
        <v>4.44</v>
      </c>
      <c r="E989" s="34">
        <v>5.87</v>
      </c>
      <c r="F989" s="34">
        <f t="shared" si="47"/>
        <v>26.0628</v>
      </c>
    </row>
    <row r="990" ht="14.45" customHeight="1" spans="1:6">
      <c r="A990" s="7"/>
      <c r="B990" s="273" t="s">
        <v>998</v>
      </c>
      <c r="C990" s="273" t="s">
        <v>863</v>
      </c>
      <c r="D990" s="34">
        <f>基础材料表!D30</f>
        <v>4.5</v>
      </c>
      <c r="E990" s="34">
        <v>14.02</v>
      </c>
      <c r="F990" s="34">
        <f t="shared" si="47"/>
        <v>63.09</v>
      </c>
    </row>
    <row r="991" ht="14.45" customHeight="1" spans="1:6">
      <c r="A991" s="7"/>
      <c r="B991" s="273" t="s">
        <v>999</v>
      </c>
      <c r="C991" s="273" t="s">
        <v>863</v>
      </c>
      <c r="D991" s="34">
        <f>基础材料表!D16</f>
        <v>5.15</v>
      </c>
      <c r="E991" s="34">
        <v>18.83</v>
      </c>
      <c r="F991" s="34">
        <f t="shared" si="47"/>
        <v>96.9745</v>
      </c>
    </row>
    <row r="992" ht="14.45" customHeight="1" spans="1:6">
      <c r="A992" s="7"/>
      <c r="B992" s="273" t="s">
        <v>1000</v>
      </c>
      <c r="C992" s="273" t="s">
        <v>863</v>
      </c>
      <c r="D992" s="34">
        <f>基础材料表!D28</f>
        <v>4.5</v>
      </c>
      <c r="E992" s="34">
        <v>0.44</v>
      </c>
      <c r="F992" s="34">
        <f t="shared" si="47"/>
        <v>1.98</v>
      </c>
    </row>
    <row r="993" ht="14.45" customHeight="1" spans="1:6">
      <c r="A993" s="7"/>
      <c r="B993" s="273" t="s">
        <v>1001</v>
      </c>
      <c r="C993" s="273" t="s">
        <v>863</v>
      </c>
      <c r="D993" s="34">
        <f>基础材料表!D32</f>
        <v>6.39</v>
      </c>
      <c r="E993" s="34">
        <v>21.87</v>
      </c>
      <c r="F993" s="34">
        <f t="shared" si="47"/>
        <v>139.7493</v>
      </c>
    </row>
    <row r="994" ht="14.45" customHeight="1" spans="1:6">
      <c r="A994" s="7"/>
      <c r="B994" s="273" t="s">
        <v>1002</v>
      </c>
      <c r="C994" s="273" t="s">
        <v>863</v>
      </c>
      <c r="D994" s="34">
        <f>基础材料表!D5</f>
        <v>5.97</v>
      </c>
      <c r="E994" s="34">
        <v>0.46</v>
      </c>
      <c r="F994" s="34">
        <f t="shared" si="47"/>
        <v>2.7462</v>
      </c>
    </row>
    <row r="995" ht="14.45" customHeight="1" spans="1:6">
      <c r="A995" s="7"/>
      <c r="B995" s="7" t="s">
        <v>1003</v>
      </c>
      <c r="C995" s="7" t="s">
        <v>169</v>
      </c>
      <c r="D995" s="34">
        <f>配合比!M8</f>
        <v>176.3536095</v>
      </c>
      <c r="E995" s="34">
        <v>103</v>
      </c>
      <c r="F995" s="34">
        <f t="shared" si="47"/>
        <v>18164.4217785</v>
      </c>
    </row>
    <row r="996" ht="14.45" customHeight="1" spans="1:6">
      <c r="A996" s="7"/>
      <c r="B996" s="7" t="s">
        <v>913</v>
      </c>
      <c r="C996" s="7" t="s">
        <v>169</v>
      </c>
      <c r="D996" s="34">
        <f>材料预算价!K13</f>
        <v>3.59</v>
      </c>
      <c r="E996" s="34">
        <v>180</v>
      </c>
      <c r="F996" s="34">
        <f t="shared" si="47"/>
        <v>646.2</v>
      </c>
    </row>
    <row r="997" ht="14.45" customHeight="1" spans="1:6">
      <c r="A997" s="7"/>
      <c r="B997" s="7" t="s">
        <v>1004</v>
      </c>
      <c r="C997" s="9" t="s">
        <v>845</v>
      </c>
      <c r="D997" s="34">
        <f>F988+F989+F990+F991+F992+F993+F994+F995+F996</f>
        <v>19544.066023</v>
      </c>
      <c r="E997" s="34">
        <v>2</v>
      </c>
      <c r="F997" s="34">
        <f>D997*E997/100</f>
        <v>390.88132046</v>
      </c>
    </row>
    <row r="998" ht="14.45" customHeight="1" spans="1:6">
      <c r="A998" s="7">
        <v>3</v>
      </c>
      <c r="B998" s="7" t="s">
        <v>859</v>
      </c>
      <c r="C998" s="7"/>
      <c r="D998" s="34"/>
      <c r="E998" s="34"/>
      <c r="F998" s="34">
        <f>SUM(F999:F1005)</f>
        <v>775.352740637615</v>
      </c>
    </row>
    <row r="999" ht="14.45" customHeight="1" spans="1:6">
      <c r="A999" s="7"/>
      <c r="B999" s="7" t="s">
        <v>1005</v>
      </c>
      <c r="C999" s="7" t="s">
        <v>428</v>
      </c>
      <c r="D999" s="34">
        <f>台时!H42</f>
        <v>49.389824491424</v>
      </c>
      <c r="E999" s="34">
        <v>0.42</v>
      </c>
      <c r="F999" s="34">
        <f t="shared" ref="F999:F1004" si="48">D999*E999</f>
        <v>20.7437262863981</v>
      </c>
    </row>
    <row r="1000" ht="14.45" customHeight="1" spans="1:6">
      <c r="A1000" s="7"/>
      <c r="B1000" s="7" t="s">
        <v>1006</v>
      </c>
      <c r="C1000" s="7" t="s">
        <v>428</v>
      </c>
      <c r="D1000" s="34">
        <f>台时!F84</f>
        <v>62.3342780215397</v>
      </c>
      <c r="E1000" s="34">
        <v>0.78</v>
      </c>
      <c r="F1000" s="34">
        <f t="shared" si="48"/>
        <v>48.620736856801</v>
      </c>
    </row>
    <row r="1001" ht="14.45" customHeight="1" spans="1:6">
      <c r="A1001" s="7"/>
      <c r="B1001" s="7" t="s">
        <v>1007</v>
      </c>
      <c r="C1001" s="7" t="s">
        <v>428</v>
      </c>
      <c r="D1001" s="34">
        <f>台时!E84</f>
        <v>8.3371858795373</v>
      </c>
      <c r="E1001" s="251">
        <v>0.45</v>
      </c>
      <c r="F1001" s="34">
        <f t="shared" si="48"/>
        <v>3.75173364579178</v>
      </c>
    </row>
    <row r="1002" ht="14.45" customHeight="1" spans="1:6">
      <c r="A1002" s="7"/>
      <c r="B1002" s="7" t="s">
        <v>1008</v>
      </c>
      <c r="C1002" s="7" t="s">
        <v>428</v>
      </c>
      <c r="D1002" s="34">
        <f>台时!D42</f>
        <v>23.9179521340247</v>
      </c>
      <c r="E1002" s="34">
        <v>18.54</v>
      </c>
      <c r="F1002" s="34">
        <f t="shared" si="48"/>
        <v>443.438832564818</v>
      </c>
    </row>
    <row r="1003" ht="14.45" customHeight="1" spans="1:6">
      <c r="A1003" s="7"/>
      <c r="B1003" s="7" t="s">
        <v>1009</v>
      </c>
      <c r="C1003" s="7" t="s">
        <v>428</v>
      </c>
      <c r="D1003" s="34">
        <f>台时!F42</f>
        <v>1.82152692461109</v>
      </c>
      <c r="E1003" s="34">
        <v>49.5</v>
      </c>
      <c r="F1003" s="34">
        <f t="shared" si="48"/>
        <v>90.1655827682489</v>
      </c>
    </row>
    <row r="1004" ht="14.45" customHeight="1" spans="1:6">
      <c r="A1004" s="7"/>
      <c r="B1004" s="7" t="s">
        <v>967</v>
      </c>
      <c r="C1004" s="7" t="s">
        <v>428</v>
      </c>
      <c r="D1004" s="34">
        <f>台时!C42</f>
        <v>0.813242919824491</v>
      </c>
      <c r="E1004" s="34">
        <v>83</v>
      </c>
      <c r="F1004" s="34">
        <f t="shared" si="48"/>
        <v>67.4991623454328</v>
      </c>
    </row>
    <row r="1005" ht="14.45" customHeight="1" spans="1:6">
      <c r="A1005" s="7"/>
      <c r="B1005" s="7" t="s">
        <v>918</v>
      </c>
      <c r="C1005" s="9" t="s">
        <v>845</v>
      </c>
      <c r="D1005" s="34">
        <f>SUM(F999:F1004)</f>
        <v>674.219774467491</v>
      </c>
      <c r="E1005" s="34">
        <v>15</v>
      </c>
      <c r="F1005" s="34">
        <f>D1005*E1005/100</f>
        <v>101.132966170124</v>
      </c>
    </row>
    <row r="1006" s="219" customFormat="1" ht="14.45" customHeight="1" spans="1:6">
      <c r="A1006" s="7">
        <v>4</v>
      </c>
      <c r="B1006" s="7" t="s">
        <v>1010</v>
      </c>
      <c r="C1006" s="9"/>
      <c r="D1006" s="34"/>
      <c r="E1006" s="34"/>
      <c r="F1006" s="34">
        <f>SUM(F1007:F1008)</f>
        <v>1991.65619138815</v>
      </c>
    </row>
    <row r="1007" s="216" customFormat="1" ht="14.45" customHeight="1" spans="1:6">
      <c r="A1007" s="7"/>
      <c r="B1007" s="123" t="s">
        <v>681</v>
      </c>
      <c r="C1007" s="123" t="s">
        <v>169</v>
      </c>
      <c r="D1007" s="274">
        <f>$F$2795/100</f>
        <v>5.03319379720782</v>
      </c>
      <c r="E1007" s="274">
        <v>103</v>
      </c>
      <c r="F1007" s="34">
        <f>D1007*E1007</f>
        <v>518.418961112405</v>
      </c>
    </row>
    <row r="1008" s="216" customFormat="1" ht="14.45" customHeight="1" spans="1:6">
      <c r="A1008" s="7"/>
      <c r="B1008" s="123" t="s">
        <v>682</v>
      </c>
      <c r="C1008" s="123" t="s">
        <v>169</v>
      </c>
      <c r="D1008" s="274">
        <f>$F$2813/100</f>
        <v>14.303274080347</v>
      </c>
      <c r="E1008" s="274">
        <v>103</v>
      </c>
      <c r="F1008" s="34">
        <f>D1008*E1008</f>
        <v>1473.23723027574</v>
      </c>
    </row>
    <row r="1009" s="216" customFormat="1" ht="14.45" customHeight="1" spans="1:6">
      <c r="A1009" s="7" t="s">
        <v>564</v>
      </c>
      <c r="B1009" s="7" t="s">
        <v>846</v>
      </c>
      <c r="C1009" s="230">
        <f>取费表!$C$7</f>
        <v>0.048</v>
      </c>
      <c r="D1009" s="274"/>
      <c r="E1009" s="274">
        <f>F983</f>
        <v>31184.7222754858</v>
      </c>
      <c r="F1009" s="34">
        <f>E1009*C1009</f>
        <v>1496.86666922332</v>
      </c>
    </row>
    <row r="1010" s="216" customFormat="1" ht="14.45" customHeight="1" spans="1:6">
      <c r="A1010" s="7"/>
      <c r="B1010" s="7"/>
      <c r="C1010" s="230"/>
      <c r="D1010" s="274"/>
      <c r="E1010" s="274"/>
      <c r="F1010" s="34"/>
    </row>
    <row r="1011" s="216" customFormat="1" ht="14.45" customHeight="1" spans="1:6">
      <c r="A1011" s="7" t="s">
        <v>439</v>
      </c>
      <c r="B1011" s="7" t="s">
        <v>847</v>
      </c>
      <c r="C1011" s="230">
        <f>取费表!$E$7</f>
        <v>0.07</v>
      </c>
      <c r="D1011" s="274"/>
      <c r="E1011" s="274">
        <f>F982</f>
        <v>32681.5889447091</v>
      </c>
      <c r="F1011" s="34">
        <f>E1011*C1011</f>
        <v>2287.71122612964</v>
      </c>
    </row>
    <row r="1012" s="216" customFormat="1" ht="14.45" customHeight="1" spans="1:6">
      <c r="A1012" s="7" t="s">
        <v>83</v>
      </c>
      <c r="B1012" s="7" t="s">
        <v>848</v>
      </c>
      <c r="C1012" s="230">
        <f>取费表!$F$7</f>
        <v>0.07</v>
      </c>
      <c r="D1012" s="274"/>
      <c r="E1012" s="274">
        <f>F1011+F982</f>
        <v>34969.3001708387</v>
      </c>
      <c r="F1012" s="34">
        <f>E1012*C1012</f>
        <v>2447.85101195871</v>
      </c>
    </row>
    <row r="1013" s="220" customFormat="1" ht="14.45" customHeight="1" spans="1:6">
      <c r="A1013" s="7" t="s">
        <v>121</v>
      </c>
      <c r="B1013" s="7" t="s">
        <v>861</v>
      </c>
      <c r="C1013" s="9"/>
      <c r="D1013" s="34"/>
      <c r="E1013" s="7"/>
      <c r="F1013" s="69">
        <f>F1014+F1019</f>
        <v>8996.07007301364</v>
      </c>
    </row>
    <row r="1014" ht="14.45" customHeight="1" spans="1:6">
      <c r="A1014" s="7">
        <v>1</v>
      </c>
      <c r="B1014" s="7" t="s">
        <v>1011</v>
      </c>
      <c r="C1014" s="9"/>
      <c r="D1014" s="34"/>
      <c r="E1014" s="7"/>
      <c r="F1014" s="69">
        <f>SUM(F1015:F1018)</f>
        <v>8951.34817301364</v>
      </c>
    </row>
    <row r="1015" ht="14.45" customHeight="1" spans="1:6">
      <c r="A1015" s="7"/>
      <c r="B1015" s="7"/>
      <c r="C1015" s="7"/>
      <c r="D1015" s="34"/>
      <c r="E1015" s="34"/>
      <c r="F1015" s="69"/>
    </row>
    <row r="1016" ht="14.45" customHeight="1" spans="1:6">
      <c r="A1016" s="7"/>
      <c r="B1016" s="7" t="s">
        <v>979</v>
      </c>
      <c r="C1016" s="7" t="s">
        <v>200</v>
      </c>
      <c r="D1016" s="34">
        <f>材料预算价!K5-材料预算价!L5</f>
        <v>141.58936</v>
      </c>
      <c r="E1016" s="34">
        <f>E995*配合比!E8</f>
        <v>31.641291</v>
      </c>
      <c r="F1016" s="69">
        <f>D1016*E1016</f>
        <v>4480.07014226376</v>
      </c>
    </row>
    <row r="1017" ht="14.45" customHeight="1" spans="1:6">
      <c r="A1017" s="7"/>
      <c r="B1017" s="7" t="s">
        <v>961</v>
      </c>
      <c r="C1017" s="7" t="s">
        <v>169</v>
      </c>
      <c r="D1017" s="34">
        <f>D963</f>
        <v>34.366056</v>
      </c>
      <c r="E1017" s="34">
        <f>E995*配合比!G8</f>
        <v>56.62734</v>
      </c>
      <c r="F1017" s="69">
        <f>D1017*E1017</f>
        <v>1946.05833757104</v>
      </c>
    </row>
    <row r="1018" ht="14.45" customHeight="1" spans="1:6">
      <c r="A1018" s="7"/>
      <c r="B1018" s="7" t="s">
        <v>1012</v>
      </c>
      <c r="C1018" s="7" t="s">
        <v>169</v>
      </c>
      <c r="D1018" s="34">
        <f>材料预算价!K8-材料预算价!L8</f>
        <v>29.13701</v>
      </c>
      <c r="E1018" s="34">
        <f>E995*配合比!I8</f>
        <v>86.667084</v>
      </c>
      <c r="F1018" s="69">
        <f>D1018*E1018</f>
        <v>2525.21969317884</v>
      </c>
    </row>
    <row r="1019" ht="14.45" customHeight="1" spans="1:6">
      <c r="A1019" s="7">
        <v>2</v>
      </c>
      <c r="B1019" s="7" t="s">
        <v>1013</v>
      </c>
      <c r="C1019" s="7"/>
      <c r="D1019" s="34"/>
      <c r="E1019" s="38"/>
      <c r="F1019" s="69">
        <f>SUM(F1020:F1021)</f>
        <v>44.7219</v>
      </c>
    </row>
    <row r="1020" ht="14.45" customHeight="1" spans="1:6">
      <c r="A1020" s="7"/>
      <c r="B1020" s="7" t="s">
        <v>1014</v>
      </c>
      <c r="C1020" s="7" t="s">
        <v>863</v>
      </c>
      <c r="D1020" s="34">
        <f>材料预算价!K12-材料预算价!L12</f>
        <v>5.925</v>
      </c>
      <c r="E1020" s="38">
        <f>(E999*7.2+E1000*5.8)</f>
        <v>7.548</v>
      </c>
      <c r="F1020" s="69">
        <f>D1020*E1020</f>
        <v>44.7219</v>
      </c>
    </row>
    <row r="1021" ht="14.45" customHeight="1" spans="1:6">
      <c r="A1021" s="7"/>
      <c r="B1021" s="7" t="s">
        <v>862</v>
      </c>
      <c r="C1021" s="7" t="s">
        <v>863</v>
      </c>
      <c r="D1021" s="34">
        <f>材料预算价!K11-材料预算价!L11</f>
        <v>4.58</v>
      </c>
      <c r="E1021" s="38"/>
      <c r="F1021" s="69">
        <f>D1021*E1021</f>
        <v>0</v>
      </c>
    </row>
    <row r="1022" ht="14.45" customHeight="1" spans="1:6">
      <c r="A1022" s="7" t="s">
        <v>135</v>
      </c>
      <c r="B1022" s="7" t="s">
        <v>849</v>
      </c>
      <c r="C1022" s="231">
        <f>C964</f>
        <v>0.09</v>
      </c>
      <c r="D1022" s="34"/>
      <c r="E1022" s="34">
        <f>F1013+F1012+F1011+F982</f>
        <v>46413.2212558111</v>
      </c>
      <c r="F1022" s="34">
        <f>E1022*C1022</f>
        <v>4177.189913023</v>
      </c>
    </row>
    <row r="1023" ht="14.45" customHeight="1" spans="1:6">
      <c r="A1023" s="7"/>
      <c r="B1023" s="7" t="s">
        <v>850</v>
      </c>
      <c r="C1023" s="231"/>
      <c r="D1023" s="34"/>
      <c r="E1023" s="34"/>
      <c r="F1023" s="34">
        <f>(F982+F1011+F1012+F1013+F1022)*取费表!H4</f>
        <v>1517.71233506502</v>
      </c>
    </row>
    <row r="1024" ht="14.45" customHeight="1" spans="1:6">
      <c r="A1024" s="7"/>
      <c r="B1024" s="7" t="s">
        <v>156</v>
      </c>
      <c r="C1024" s="7"/>
      <c r="D1024" s="34"/>
      <c r="E1024" s="34"/>
      <c r="F1024" s="34">
        <f>E1022+F1022+F1023</f>
        <v>52108.1235038991</v>
      </c>
    </row>
    <row r="1025" ht="14.45" customHeight="1" spans="1:6">
      <c r="A1025" s="236" t="s">
        <v>828</v>
      </c>
      <c r="B1025" s="236"/>
      <c r="C1025" s="236"/>
      <c r="D1025" s="236"/>
      <c r="E1025" s="236"/>
      <c r="F1025" s="236"/>
    </row>
    <row r="1026" ht="14.45" customHeight="1" spans="1:6">
      <c r="A1026" s="271" t="s">
        <v>1015</v>
      </c>
      <c r="B1026" s="272"/>
      <c r="C1026" s="272"/>
      <c r="D1026" s="272"/>
      <c r="E1026" s="272"/>
      <c r="F1026" s="272"/>
    </row>
    <row r="1027" ht="14.45" customHeight="1" spans="1:6">
      <c r="A1027" s="227" t="s">
        <v>995</v>
      </c>
      <c r="B1027" s="228"/>
      <c r="C1027" s="272"/>
      <c r="D1027" s="272"/>
      <c r="E1027" s="228" t="s">
        <v>832</v>
      </c>
      <c r="F1027" s="228"/>
    </row>
    <row r="1028" ht="14.45" customHeight="1" spans="1:6">
      <c r="A1028" s="232" t="s">
        <v>911</v>
      </c>
      <c r="B1028" s="233"/>
      <c r="C1028" s="233"/>
      <c r="D1028" s="233"/>
      <c r="E1028" s="233"/>
      <c r="F1028" s="147"/>
    </row>
    <row r="1029" ht="14.45" customHeight="1" spans="1:6">
      <c r="A1029" s="7" t="s">
        <v>104</v>
      </c>
      <c r="B1029" s="7" t="s">
        <v>835</v>
      </c>
      <c r="C1029" s="7" t="s">
        <v>159</v>
      </c>
      <c r="D1029" s="7" t="s">
        <v>422</v>
      </c>
      <c r="E1029" s="7" t="s">
        <v>160</v>
      </c>
      <c r="F1029" s="7" t="s">
        <v>18</v>
      </c>
    </row>
    <row r="1030" ht="14.45" customHeight="1" spans="1:6">
      <c r="A1030" s="7" t="s">
        <v>836</v>
      </c>
      <c r="B1030" s="7" t="s">
        <v>837</v>
      </c>
      <c r="C1030" s="7"/>
      <c r="D1030" s="7"/>
      <c r="E1030" s="7"/>
      <c r="F1030" s="34">
        <f>F1031+F1057+F1058</f>
        <v>33440.7020590995</v>
      </c>
    </row>
    <row r="1031" ht="14.45" customHeight="1" spans="1:6">
      <c r="A1031" s="7" t="s">
        <v>539</v>
      </c>
      <c r="B1031" s="7" t="s">
        <v>838</v>
      </c>
      <c r="C1031" s="7"/>
      <c r="D1031" s="7"/>
      <c r="E1031" s="7"/>
      <c r="F1031" s="247">
        <f>F1032+F1035+F1046+F1054</f>
        <v>31909.0668502858</v>
      </c>
    </row>
    <row r="1032" ht="14.45" customHeight="1" spans="1:6">
      <c r="A1032" s="7">
        <v>1</v>
      </c>
      <c r="B1032" s="7" t="s">
        <v>839</v>
      </c>
      <c r="C1032" s="7" t="s">
        <v>840</v>
      </c>
      <c r="D1032" s="34"/>
      <c r="E1032" s="42">
        <f>SUM(E1033:E1034)</f>
        <v>1168.3</v>
      </c>
      <c r="F1032" s="69">
        <f>SUM(F1033:F1034)</f>
        <v>8482.766</v>
      </c>
    </row>
    <row r="1033" ht="14.45" customHeight="1" spans="1:6">
      <c r="A1033" s="7"/>
      <c r="B1033" s="7" t="s">
        <v>841</v>
      </c>
      <c r="C1033" s="7" t="s">
        <v>840</v>
      </c>
      <c r="D1033" s="69">
        <f>D985</f>
        <v>8.1</v>
      </c>
      <c r="E1033" s="42">
        <v>747.5</v>
      </c>
      <c r="F1033" s="69">
        <f>D1033*E1033</f>
        <v>6054.75</v>
      </c>
    </row>
    <row r="1034" ht="14.45" customHeight="1" spans="1:6">
      <c r="A1034" s="7"/>
      <c r="B1034" s="7" t="s">
        <v>842</v>
      </c>
      <c r="C1034" s="7" t="s">
        <v>840</v>
      </c>
      <c r="D1034" s="69">
        <f>D986</f>
        <v>5.77</v>
      </c>
      <c r="E1034" s="42">
        <v>420.8</v>
      </c>
      <c r="F1034" s="69">
        <f>D1034*E1034</f>
        <v>2428.016</v>
      </c>
    </row>
    <row r="1035" ht="14.45" customHeight="1" spans="1:6">
      <c r="A1035" s="7">
        <v>2</v>
      </c>
      <c r="B1035" s="7" t="s">
        <v>912</v>
      </c>
      <c r="C1035" s="7"/>
      <c r="D1035" s="34"/>
      <c r="E1035" s="34"/>
      <c r="F1035" s="34">
        <f>SUM(F1036:F1045)</f>
        <v>20659.29191826</v>
      </c>
    </row>
    <row r="1036" ht="14.45" customHeight="1" spans="1:6">
      <c r="A1036" s="7"/>
      <c r="B1036" s="273" t="s">
        <v>996</v>
      </c>
      <c r="C1036" s="123" t="s">
        <v>169</v>
      </c>
      <c r="D1036" s="34">
        <f>D988</f>
        <v>2238.008025</v>
      </c>
      <c r="E1036" s="34">
        <v>0.18</v>
      </c>
      <c r="F1036" s="34">
        <f t="shared" ref="F1036:F1044" si="49">D1036*E1036</f>
        <v>402.8414445</v>
      </c>
    </row>
    <row r="1037" ht="14.45" customHeight="1" spans="1:6">
      <c r="A1037" s="7"/>
      <c r="B1037" s="273" t="s">
        <v>997</v>
      </c>
      <c r="C1037" s="273" t="s">
        <v>863</v>
      </c>
      <c r="D1037" s="34">
        <f t="shared" ref="D1037:D1042" si="50">D989</f>
        <v>4.44</v>
      </c>
      <c r="E1037" s="34">
        <v>5.87</v>
      </c>
      <c r="F1037" s="34">
        <f t="shared" si="49"/>
        <v>26.0628</v>
      </c>
    </row>
    <row r="1038" ht="14.45" customHeight="1" spans="1:6">
      <c r="A1038" s="7"/>
      <c r="B1038" s="273" t="s">
        <v>998</v>
      </c>
      <c r="C1038" s="273" t="s">
        <v>863</v>
      </c>
      <c r="D1038" s="34">
        <f t="shared" si="50"/>
        <v>4.5</v>
      </c>
      <c r="E1038" s="34">
        <v>14.02</v>
      </c>
      <c r="F1038" s="34">
        <f t="shared" si="49"/>
        <v>63.09</v>
      </c>
    </row>
    <row r="1039" ht="14.45" customHeight="1" spans="1:6">
      <c r="A1039" s="7"/>
      <c r="B1039" s="273" t="s">
        <v>999</v>
      </c>
      <c r="C1039" s="273" t="s">
        <v>863</v>
      </c>
      <c r="D1039" s="34">
        <f t="shared" si="50"/>
        <v>5.15</v>
      </c>
      <c r="E1039" s="34">
        <v>18.83</v>
      </c>
      <c r="F1039" s="34">
        <f t="shared" si="49"/>
        <v>96.9745</v>
      </c>
    </row>
    <row r="1040" ht="14.45" customHeight="1" spans="1:6">
      <c r="A1040" s="7"/>
      <c r="B1040" s="273" t="s">
        <v>1000</v>
      </c>
      <c r="C1040" s="273" t="s">
        <v>863</v>
      </c>
      <c r="D1040" s="34">
        <f t="shared" si="50"/>
        <v>4.5</v>
      </c>
      <c r="E1040" s="34">
        <v>0.44</v>
      </c>
      <c r="F1040" s="34">
        <f t="shared" si="49"/>
        <v>1.98</v>
      </c>
    </row>
    <row r="1041" ht="14.45" customHeight="1" spans="1:6">
      <c r="A1041" s="7"/>
      <c r="B1041" s="273" t="s">
        <v>1001</v>
      </c>
      <c r="C1041" s="273" t="s">
        <v>863</v>
      </c>
      <c r="D1041" s="34">
        <f t="shared" si="50"/>
        <v>6.39</v>
      </c>
      <c r="E1041" s="34">
        <v>21.87</v>
      </c>
      <c r="F1041" s="34">
        <f t="shared" si="49"/>
        <v>139.7493</v>
      </c>
    </row>
    <row r="1042" ht="14.45" customHeight="1" spans="1:6">
      <c r="A1042" s="7"/>
      <c r="B1042" s="273" t="s">
        <v>1002</v>
      </c>
      <c r="C1042" s="273" t="s">
        <v>863</v>
      </c>
      <c r="D1042" s="34">
        <f t="shared" si="50"/>
        <v>5.97</v>
      </c>
      <c r="E1042" s="34">
        <v>0.46</v>
      </c>
      <c r="F1042" s="34">
        <f t="shared" si="49"/>
        <v>2.7462</v>
      </c>
    </row>
    <row r="1043" ht="14.45" customHeight="1" spans="1:6">
      <c r="A1043" s="7"/>
      <c r="B1043" s="7" t="s">
        <v>1016</v>
      </c>
      <c r="C1043" s="123" t="s">
        <v>169</v>
      </c>
      <c r="D1043" s="34">
        <f>配合比!M10</f>
        <v>183.2481895</v>
      </c>
      <c r="E1043" s="34">
        <v>103</v>
      </c>
      <c r="F1043" s="34">
        <f t="shared" si="49"/>
        <v>18874.5635185</v>
      </c>
    </row>
    <row r="1044" ht="14.45" customHeight="1" spans="1:6">
      <c r="A1044" s="7"/>
      <c r="B1044" s="7" t="s">
        <v>913</v>
      </c>
      <c r="C1044" s="123" t="s">
        <v>169</v>
      </c>
      <c r="D1044" s="34">
        <f>材料预算价!K13</f>
        <v>3.59</v>
      </c>
      <c r="E1044" s="34">
        <v>180</v>
      </c>
      <c r="F1044" s="34">
        <f t="shared" si="49"/>
        <v>646.2</v>
      </c>
    </row>
    <row r="1045" ht="14.45" customHeight="1" spans="1:6">
      <c r="A1045" s="7"/>
      <c r="B1045" s="7" t="s">
        <v>1004</v>
      </c>
      <c r="C1045" s="9" t="s">
        <v>845</v>
      </c>
      <c r="D1045" s="34">
        <f>F1036+F1037+F1038+F1039+F1040+F1041+F1042+F1043+F1044</f>
        <v>20254.207763</v>
      </c>
      <c r="E1045" s="34">
        <v>2</v>
      </c>
      <c r="F1045" s="34">
        <f>D1045*E1045/100</f>
        <v>405.08415526</v>
      </c>
    </row>
    <row r="1046" ht="14.45" customHeight="1" spans="1:6">
      <c r="A1046" s="7">
        <v>3</v>
      </c>
      <c r="B1046" s="7" t="s">
        <v>859</v>
      </c>
      <c r="C1046" s="7"/>
      <c r="D1046" s="34"/>
      <c r="E1046" s="34"/>
      <c r="F1046" s="34">
        <f>SUM(F1047:F1053)</f>
        <v>775.352740637615</v>
      </c>
    </row>
    <row r="1047" ht="14.45" customHeight="1" spans="1:6">
      <c r="A1047" s="7"/>
      <c r="B1047" s="7" t="s">
        <v>1005</v>
      </c>
      <c r="C1047" s="7" t="s">
        <v>428</v>
      </c>
      <c r="D1047" s="34">
        <f t="shared" ref="D1047:D1052" si="51">D999</f>
        <v>49.389824491424</v>
      </c>
      <c r="E1047" s="34">
        <v>0.42</v>
      </c>
      <c r="F1047" s="34">
        <f t="shared" ref="F1047:F1052" si="52">D1047*E1047</f>
        <v>20.7437262863981</v>
      </c>
    </row>
    <row r="1048" ht="14.45" customHeight="1" spans="1:6">
      <c r="A1048" s="7"/>
      <c r="B1048" s="7" t="s">
        <v>1006</v>
      </c>
      <c r="C1048" s="7" t="s">
        <v>428</v>
      </c>
      <c r="D1048" s="34">
        <f t="shared" si="51"/>
        <v>62.3342780215397</v>
      </c>
      <c r="E1048" s="34">
        <v>0.78</v>
      </c>
      <c r="F1048" s="34">
        <f t="shared" si="52"/>
        <v>48.620736856801</v>
      </c>
    </row>
    <row r="1049" ht="14.45" customHeight="1" spans="1:6">
      <c r="A1049" s="7"/>
      <c r="B1049" s="7" t="s">
        <v>1007</v>
      </c>
      <c r="C1049" s="7" t="s">
        <v>428</v>
      </c>
      <c r="D1049" s="34">
        <f t="shared" si="51"/>
        <v>8.3371858795373</v>
      </c>
      <c r="E1049" s="251">
        <v>0.45</v>
      </c>
      <c r="F1049" s="34">
        <f t="shared" si="52"/>
        <v>3.75173364579178</v>
      </c>
    </row>
    <row r="1050" ht="14.45" customHeight="1" spans="1:6">
      <c r="A1050" s="7"/>
      <c r="B1050" s="7" t="s">
        <v>1008</v>
      </c>
      <c r="C1050" s="7" t="s">
        <v>428</v>
      </c>
      <c r="D1050" s="34">
        <f t="shared" si="51"/>
        <v>23.9179521340247</v>
      </c>
      <c r="E1050" s="34">
        <v>18.54</v>
      </c>
      <c r="F1050" s="34">
        <f t="shared" si="52"/>
        <v>443.438832564818</v>
      </c>
    </row>
    <row r="1051" ht="14.45" customHeight="1" spans="1:6">
      <c r="A1051" s="7"/>
      <c r="B1051" s="7" t="s">
        <v>1009</v>
      </c>
      <c r="C1051" s="7" t="s">
        <v>428</v>
      </c>
      <c r="D1051" s="34">
        <f t="shared" si="51"/>
        <v>1.82152692461109</v>
      </c>
      <c r="E1051" s="34">
        <v>49.5</v>
      </c>
      <c r="F1051" s="34">
        <f t="shared" si="52"/>
        <v>90.1655827682489</v>
      </c>
    </row>
    <row r="1052" ht="14.45" customHeight="1" spans="1:6">
      <c r="A1052" s="7"/>
      <c r="B1052" s="7" t="s">
        <v>967</v>
      </c>
      <c r="C1052" s="7" t="s">
        <v>428</v>
      </c>
      <c r="D1052" s="34">
        <f t="shared" si="51"/>
        <v>0.813242919824491</v>
      </c>
      <c r="E1052" s="34">
        <v>83</v>
      </c>
      <c r="F1052" s="34">
        <f t="shared" si="52"/>
        <v>67.4991623454328</v>
      </c>
    </row>
    <row r="1053" ht="14.45" customHeight="1" spans="1:6">
      <c r="A1053" s="7"/>
      <c r="B1053" s="7" t="s">
        <v>918</v>
      </c>
      <c r="C1053" s="9" t="s">
        <v>845</v>
      </c>
      <c r="D1053" s="34">
        <f>SUM(F1047:F1052)</f>
        <v>674.219774467491</v>
      </c>
      <c r="E1053" s="34">
        <v>15</v>
      </c>
      <c r="F1053" s="34">
        <f>D1053*E1053/100</f>
        <v>101.132966170124</v>
      </c>
    </row>
    <row r="1054" ht="14.45" customHeight="1" spans="1:6">
      <c r="A1054" s="7">
        <v>4</v>
      </c>
      <c r="B1054" s="7" t="s">
        <v>1010</v>
      </c>
      <c r="C1054" s="9"/>
      <c r="D1054" s="34"/>
      <c r="E1054" s="34"/>
      <c r="F1054" s="34">
        <f>SUM(F1055:F1056)</f>
        <v>1991.65619138815</v>
      </c>
    </row>
    <row r="1055" ht="14.45" customHeight="1" spans="1:6">
      <c r="A1055" s="7"/>
      <c r="B1055" s="123" t="s">
        <v>681</v>
      </c>
      <c r="C1055" s="123" t="s">
        <v>169</v>
      </c>
      <c r="D1055" s="274">
        <f>$F$2795/100</f>
        <v>5.03319379720782</v>
      </c>
      <c r="E1055" s="274">
        <v>103</v>
      </c>
      <c r="F1055" s="34">
        <f>D1055*E1055</f>
        <v>518.418961112405</v>
      </c>
    </row>
    <row r="1056" ht="14.45" customHeight="1" spans="1:6">
      <c r="A1056" s="7"/>
      <c r="B1056" s="123" t="s">
        <v>682</v>
      </c>
      <c r="C1056" s="123" t="s">
        <v>169</v>
      </c>
      <c r="D1056" s="274">
        <f>$F$2813/100</f>
        <v>14.303274080347</v>
      </c>
      <c r="E1056" s="274">
        <v>103</v>
      </c>
      <c r="F1056" s="34">
        <f>D1056*E1056</f>
        <v>1473.23723027574</v>
      </c>
    </row>
    <row r="1057" ht="14.45" customHeight="1" spans="1:6">
      <c r="A1057" s="7" t="s">
        <v>564</v>
      </c>
      <c r="B1057" s="7" t="s">
        <v>846</v>
      </c>
      <c r="C1057" s="230">
        <f>取费表!$C$7</f>
        <v>0.048</v>
      </c>
      <c r="D1057" s="274"/>
      <c r="E1057" s="274">
        <f>F1031</f>
        <v>31909.0668502858</v>
      </c>
      <c r="F1057" s="34">
        <f>E1057*C1057</f>
        <v>1531.63520881372</v>
      </c>
    </row>
    <row r="1058" ht="14.45" customHeight="1" spans="1:6">
      <c r="A1058" s="7"/>
      <c r="B1058" s="7"/>
      <c r="C1058" s="230"/>
      <c r="D1058" s="274"/>
      <c r="E1058" s="274"/>
      <c r="F1058" s="34"/>
    </row>
    <row r="1059" ht="14.45" customHeight="1" spans="1:6">
      <c r="A1059" s="7" t="s">
        <v>439</v>
      </c>
      <c r="B1059" s="7" t="s">
        <v>847</v>
      </c>
      <c r="C1059" s="230">
        <f>取费表!$E$7</f>
        <v>0.07</v>
      </c>
      <c r="D1059" s="274"/>
      <c r="E1059" s="274">
        <f>F1030</f>
        <v>33440.7020590995</v>
      </c>
      <c r="F1059" s="34">
        <f>E1059*C1059</f>
        <v>2340.84914413696</v>
      </c>
    </row>
    <row r="1060" ht="14.45" customHeight="1" spans="1:6">
      <c r="A1060" s="7" t="s">
        <v>83</v>
      </c>
      <c r="B1060" s="7" t="s">
        <v>848</v>
      </c>
      <c r="C1060" s="230">
        <f>取费表!$F$7</f>
        <v>0.07</v>
      </c>
      <c r="D1060" s="274"/>
      <c r="E1060" s="274">
        <f>F1059+F1030</f>
        <v>35781.5512032364</v>
      </c>
      <c r="F1060" s="34">
        <f>E1060*C1060</f>
        <v>2504.70858422655</v>
      </c>
    </row>
    <row r="1061" ht="14.45" customHeight="1" spans="1:6">
      <c r="A1061" s="5" t="s">
        <v>121</v>
      </c>
      <c r="B1061" s="5" t="s">
        <v>861</v>
      </c>
      <c r="C1061" s="275"/>
      <c r="D1061" s="276"/>
      <c r="E1061" s="5"/>
      <c r="F1061" s="277">
        <f>F1062+F1067</f>
        <v>9400.37461143604</v>
      </c>
    </row>
    <row r="1062" ht="14.45" customHeight="1" spans="1:6">
      <c r="A1062" s="7">
        <v>1</v>
      </c>
      <c r="B1062" s="7" t="s">
        <v>1011</v>
      </c>
      <c r="C1062" s="9"/>
      <c r="D1062" s="34"/>
      <c r="E1062" s="7"/>
      <c r="F1062" s="69">
        <f>SUM(F1063:F1066)</f>
        <v>9355.65271143604</v>
      </c>
    </row>
    <row r="1063" ht="14.45" customHeight="1" spans="1:6">
      <c r="A1063" s="7"/>
      <c r="B1063" s="7"/>
      <c r="C1063" s="123"/>
      <c r="D1063" s="34"/>
      <c r="E1063" s="34"/>
      <c r="F1063" s="69"/>
    </row>
    <row r="1064" ht="14.45" customHeight="1" spans="1:6">
      <c r="A1064" s="7"/>
      <c r="B1064" s="7" t="s">
        <v>979</v>
      </c>
      <c r="C1064" s="7" t="s">
        <v>200</v>
      </c>
      <c r="D1064" s="34">
        <f>材料预算价!K5-材料预算价!L5</f>
        <v>141.58936</v>
      </c>
      <c r="E1064" s="34">
        <f>E1043*配合比!E10</f>
        <v>35.035759</v>
      </c>
      <c r="F1064" s="69">
        <f>D1064*E1064</f>
        <v>4960.69069392424</v>
      </c>
    </row>
    <row r="1065" ht="14.45" customHeight="1" spans="1:6">
      <c r="A1065" s="7"/>
      <c r="B1065" s="7" t="s">
        <v>961</v>
      </c>
      <c r="C1065" s="123" t="s">
        <v>169</v>
      </c>
      <c r="D1065" s="34">
        <f>D1017</f>
        <v>34.366056</v>
      </c>
      <c r="E1065" s="34">
        <f>E1043*配合比!G10</f>
        <v>54.40666</v>
      </c>
      <c r="F1065" s="69">
        <f>D1065*E1065</f>
        <v>1869.74232433296</v>
      </c>
    </row>
    <row r="1066" ht="14.45" customHeight="1" spans="1:6">
      <c r="A1066" s="7"/>
      <c r="B1066" s="7" t="s">
        <v>1012</v>
      </c>
      <c r="C1066" s="123" t="s">
        <v>169</v>
      </c>
      <c r="D1066" s="34">
        <f>材料预算价!K8-材料预算价!L8</f>
        <v>29.13701</v>
      </c>
      <c r="E1066" s="34">
        <f>E1043*配合比!I10</f>
        <v>86.667084</v>
      </c>
      <c r="F1066" s="69">
        <f>D1066*E1066</f>
        <v>2525.21969317884</v>
      </c>
    </row>
    <row r="1067" ht="14.45" customHeight="1" spans="1:6">
      <c r="A1067" s="7">
        <v>2</v>
      </c>
      <c r="B1067" s="7" t="s">
        <v>1013</v>
      </c>
      <c r="C1067" s="7"/>
      <c r="D1067" s="34"/>
      <c r="E1067" s="38"/>
      <c r="F1067" s="69">
        <f>SUM(F1068:F1069)</f>
        <v>44.7219</v>
      </c>
    </row>
    <row r="1068" ht="14.45" customHeight="1" spans="1:6">
      <c r="A1068" s="7"/>
      <c r="B1068" s="7" t="s">
        <v>1014</v>
      </c>
      <c r="C1068" s="7" t="s">
        <v>863</v>
      </c>
      <c r="D1068" s="34">
        <f>材料预算价!K12-材料预算价!L12</f>
        <v>5.925</v>
      </c>
      <c r="E1068" s="38">
        <f>(E1047*7.2+E1048*5.8)</f>
        <v>7.548</v>
      </c>
      <c r="F1068" s="69">
        <f>D1068*E1068</f>
        <v>44.7219</v>
      </c>
    </row>
    <row r="1069" ht="14.45" customHeight="1" spans="1:6">
      <c r="A1069" s="7"/>
      <c r="B1069" s="7" t="s">
        <v>862</v>
      </c>
      <c r="C1069" s="7" t="s">
        <v>863</v>
      </c>
      <c r="D1069" s="34">
        <f>材料预算价!K11-材料预算价!L11</f>
        <v>4.58</v>
      </c>
      <c r="E1069" s="38"/>
      <c r="F1069" s="69">
        <f>D1069*E1069</f>
        <v>0</v>
      </c>
    </row>
    <row r="1070" ht="14.45" customHeight="1" spans="1:6">
      <c r="A1070" s="7" t="s">
        <v>135</v>
      </c>
      <c r="B1070" s="7" t="s">
        <v>849</v>
      </c>
      <c r="C1070" s="231">
        <f>C1022</f>
        <v>0.09</v>
      </c>
      <c r="D1070" s="34"/>
      <c r="E1070" s="34">
        <f>F1061+F1060+F1059+F1030</f>
        <v>47686.6343988991</v>
      </c>
      <c r="F1070" s="34">
        <f>E1070*C1070</f>
        <v>4291.79709590091</v>
      </c>
    </row>
    <row r="1071" ht="14.45" customHeight="1" spans="1:6">
      <c r="A1071" s="7"/>
      <c r="B1071" s="7" t="s">
        <v>850</v>
      </c>
      <c r="C1071" s="231"/>
      <c r="D1071" s="34"/>
      <c r="E1071" s="34"/>
      <c r="F1071" s="34">
        <f>(F1030+F1059+F1060+F1061+F1070)*取费表!H4</f>
        <v>1559.352944844</v>
      </c>
    </row>
    <row r="1072" ht="14.45" customHeight="1" spans="1:6">
      <c r="A1072" s="7"/>
      <c r="B1072" s="7" t="s">
        <v>156</v>
      </c>
      <c r="C1072" s="7"/>
      <c r="D1072" s="34"/>
      <c r="E1072" s="34"/>
      <c r="F1072" s="34">
        <f>F1070+E1070+F1071</f>
        <v>53537.784439644</v>
      </c>
    </row>
    <row r="1073" ht="15" customHeight="1" spans="1:12">
      <c r="A1073" s="236" t="s">
        <v>828</v>
      </c>
      <c r="B1073" s="236"/>
      <c r="C1073" s="236"/>
      <c r="D1073" s="236"/>
      <c r="E1073" s="236"/>
      <c r="F1073" s="236"/>
      <c r="G1073" s="236" t="s">
        <v>828</v>
      </c>
      <c r="H1073" s="236"/>
      <c r="I1073" s="236"/>
      <c r="J1073" s="236"/>
      <c r="K1073" s="236"/>
      <c r="L1073" s="236"/>
    </row>
    <row r="1074" ht="15" customHeight="1" spans="1:12">
      <c r="A1074" s="278" t="s">
        <v>1017</v>
      </c>
      <c r="B1074" s="272"/>
      <c r="C1074" s="272"/>
      <c r="D1074" s="272"/>
      <c r="E1074" s="272"/>
      <c r="F1074" s="272"/>
      <c r="G1074" s="278" t="s">
        <v>1018</v>
      </c>
      <c r="H1074" s="272"/>
      <c r="I1074" s="272"/>
      <c r="J1074" s="272"/>
      <c r="K1074" s="272"/>
      <c r="L1074" s="272"/>
    </row>
    <row r="1075" ht="15" customHeight="1" spans="1:12">
      <c r="A1075" s="227" t="s">
        <v>1019</v>
      </c>
      <c r="B1075" s="228"/>
      <c r="C1075" s="272"/>
      <c r="D1075" s="272"/>
      <c r="E1075" s="228" t="s">
        <v>832</v>
      </c>
      <c r="F1075" s="228"/>
      <c r="G1075" s="227" t="s">
        <v>1019</v>
      </c>
      <c r="H1075" s="228"/>
      <c r="I1075" s="272"/>
      <c r="J1075" s="272"/>
      <c r="K1075" s="228" t="s">
        <v>832</v>
      </c>
      <c r="L1075" s="228"/>
    </row>
    <row r="1076" ht="15" customHeight="1" spans="1:12">
      <c r="A1076" s="232" t="s">
        <v>1020</v>
      </c>
      <c r="B1076" s="233"/>
      <c r="C1076" s="233"/>
      <c r="D1076" s="233"/>
      <c r="E1076" s="233"/>
      <c r="F1076" s="147"/>
      <c r="G1076" s="232" t="s">
        <v>1020</v>
      </c>
      <c r="H1076" s="233"/>
      <c r="I1076" s="233"/>
      <c r="J1076" s="233"/>
      <c r="K1076" s="233"/>
      <c r="L1076" s="147"/>
    </row>
    <row r="1077" ht="15" customHeight="1" spans="1:12">
      <c r="A1077" s="7" t="s">
        <v>104</v>
      </c>
      <c r="B1077" s="7" t="s">
        <v>835</v>
      </c>
      <c r="C1077" s="7" t="s">
        <v>159</v>
      </c>
      <c r="D1077" s="7" t="s">
        <v>422</v>
      </c>
      <c r="E1077" s="7" t="s">
        <v>160</v>
      </c>
      <c r="F1077" s="7" t="s">
        <v>18</v>
      </c>
      <c r="G1077" s="7" t="s">
        <v>104</v>
      </c>
      <c r="H1077" s="7" t="s">
        <v>835</v>
      </c>
      <c r="I1077" s="7" t="s">
        <v>159</v>
      </c>
      <c r="J1077" s="7" t="s">
        <v>422</v>
      </c>
      <c r="K1077" s="7" t="s">
        <v>160</v>
      </c>
      <c r="L1077" s="7" t="s">
        <v>18</v>
      </c>
    </row>
    <row r="1078" ht="15" customHeight="1" spans="1:12">
      <c r="A1078" s="7" t="s">
        <v>836</v>
      </c>
      <c r="B1078" s="7" t="s">
        <v>837</v>
      </c>
      <c r="C1078" s="7"/>
      <c r="D1078" s="7"/>
      <c r="E1078" s="7"/>
      <c r="F1078" s="34">
        <f>F1079+F1103+F1104</f>
        <v>37578.0566592833</v>
      </c>
      <c r="G1078" s="7" t="s">
        <v>836</v>
      </c>
      <c r="H1078" s="7" t="s">
        <v>837</v>
      </c>
      <c r="I1078" s="7"/>
      <c r="J1078" s="7"/>
      <c r="K1078" s="7"/>
      <c r="L1078" s="34">
        <f>L1079+L1103+L1104</f>
        <v>37578.0566592833</v>
      </c>
    </row>
    <row r="1079" ht="15" customHeight="1" spans="1:12">
      <c r="A1079" s="7" t="s">
        <v>539</v>
      </c>
      <c r="B1079" s="7" t="s">
        <v>838</v>
      </c>
      <c r="C1079" s="7"/>
      <c r="D1079" s="7"/>
      <c r="E1079" s="7"/>
      <c r="F1079" s="34">
        <f>F1080+F1083+F1093+F1100</f>
        <v>35856.9242932092</v>
      </c>
      <c r="G1079" s="7" t="s">
        <v>539</v>
      </c>
      <c r="H1079" s="7" t="s">
        <v>838</v>
      </c>
      <c r="I1079" s="7"/>
      <c r="J1079" s="7"/>
      <c r="K1079" s="7"/>
      <c r="L1079" s="34">
        <f>L1080+L1083+L1093+L1100</f>
        <v>35856.9242932092</v>
      </c>
    </row>
    <row r="1080" ht="15" customHeight="1" spans="1:12">
      <c r="A1080" s="7">
        <v>1</v>
      </c>
      <c r="B1080" s="7" t="s">
        <v>839</v>
      </c>
      <c r="C1080" s="7" t="s">
        <v>840</v>
      </c>
      <c r="D1080" s="34"/>
      <c r="E1080" s="42">
        <f>SUM(E1081:E1082)</f>
        <v>1505.7</v>
      </c>
      <c r="F1080" s="69">
        <f>SUM(F1081:F1082)</f>
        <v>11341.06</v>
      </c>
      <c r="G1080" s="7">
        <v>1</v>
      </c>
      <c r="H1080" s="7" t="s">
        <v>839</v>
      </c>
      <c r="I1080" s="7" t="s">
        <v>840</v>
      </c>
      <c r="J1080" s="34"/>
      <c r="K1080" s="42">
        <f>SUM(K1081:K1082)</f>
        <v>1505.7</v>
      </c>
      <c r="L1080" s="69">
        <f>SUM(L1081:L1082)</f>
        <v>11341.06</v>
      </c>
    </row>
    <row r="1081" ht="15" customHeight="1" spans="1:12">
      <c r="A1081" s="7"/>
      <c r="B1081" s="7" t="s">
        <v>841</v>
      </c>
      <c r="C1081" s="7" t="s">
        <v>840</v>
      </c>
      <c r="D1081" s="69">
        <f t="shared" ref="D1081:D1086" si="53">D1033</f>
        <v>8.1</v>
      </c>
      <c r="E1081" s="42">
        <v>1138.7</v>
      </c>
      <c r="F1081" s="69">
        <f>D1081*E1081</f>
        <v>9223.47</v>
      </c>
      <c r="G1081" s="7"/>
      <c r="H1081" s="7" t="s">
        <v>841</v>
      </c>
      <c r="I1081" s="7" t="s">
        <v>840</v>
      </c>
      <c r="J1081" s="69">
        <f>D1081</f>
        <v>8.1</v>
      </c>
      <c r="K1081" s="42">
        <v>1138.7</v>
      </c>
      <c r="L1081" s="69">
        <f>J1081*K1081</f>
        <v>9223.47</v>
      </c>
    </row>
    <row r="1082" ht="15" customHeight="1" spans="1:12">
      <c r="A1082" s="7"/>
      <c r="B1082" s="7" t="s">
        <v>842</v>
      </c>
      <c r="C1082" s="7" t="s">
        <v>840</v>
      </c>
      <c r="D1082" s="69">
        <f t="shared" si="53"/>
        <v>5.77</v>
      </c>
      <c r="E1082" s="42">
        <v>367</v>
      </c>
      <c r="F1082" s="69">
        <f>D1082*E1082</f>
        <v>2117.59</v>
      </c>
      <c r="G1082" s="7"/>
      <c r="H1082" s="7" t="s">
        <v>842</v>
      </c>
      <c r="I1082" s="7" t="s">
        <v>840</v>
      </c>
      <c r="J1082" s="69">
        <f>D1082</f>
        <v>5.77</v>
      </c>
      <c r="K1082" s="42">
        <v>367</v>
      </c>
      <c r="L1082" s="69">
        <f>J1082*K1082</f>
        <v>2117.59</v>
      </c>
    </row>
    <row r="1083" ht="15" customHeight="1" spans="1:12">
      <c r="A1083" s="7">
        <v>2</v>
      </c>
      <c r="B1083" s="7" t="s">
        <v>912</v>
      </c>
      <c r="C1083" s="7"/>
      <c r="D1083" s="34"/>
      <c r="E1083" s="34"/>
      <c r="F1083" s="34">
        <f>SUM(F1084:F1092)</f>
        <v>21765.598277055</v>
      </c>
      <c r="G1083" s="7">
        <v>2</v>
      </c>
      <c r="H1083" s="7" t="s">
        <v>912</v>
      </c>
      <c r="I1083" s="7"/>
      <c r="J1083" s="34"/>
      <c r="K1083" s="34"/>
      <c r="L1083" s="34">
        <f>SUM(L1084:L1092)</f>
        <v>21765.598277055</v>
      </c>
    </row>
    <row r="1084" ht="15" customHeight="1" spans="1:12">
      <c r="A1084" s="7"/>
      <c r="B1084" s="273" t="s">
        <v>996</v>
      </c>
      <c r="C1084" s="273" t="s">
        <v>169</v>
      </c>
      <c r="D1084" s="34">
        <f>D1036</f>
        <v>2238.008025</v>
      </c>
      <c r="E1084" s="34">
        <v>0.07</v>
      </c>
      <c r="F1084" s="34">
        <f t="shared" ref="F1084:F1091" si="54">D1084*E1084</f>
        <v>156.66056175</v>
      </c>
      <c r="G1084" s="7"/>
      <c r="H1084" s="273" t="s">
        <v>996</v>
      </c>
      <c r="I1084" s="273" t="s">
        <v>169</v>
      </c>
      <c r="J1084" s="34">
        <f t="shared" ref="J1084:J1091" si="55">D1084</f>
        <v>2238.008025</v>
      </c>
      <c r="K1084" s="34">
        <v>0.07</v>
      </c>
      <c r="L1084" s="34">
        <f t="shared" ref="L1084:L1091" si="56">J1084*K1084</f>
        <v>156.66056175</v>
      </c>
    </row>
    <row r="1085" ht="15" customHeight="1" spans="1:12">
      <c r="A1085" s="7"/>
      <c r="B1085" s="273" t="s">
        <v>997</v>
      </c>
      <c r="C1085" s="273" t="s">
        <v>863</v>
      </c>
      <c r="D1085" s="34">
        <f>基础材料表!D34</f>
        <v>4.44</v>
      </c>
      <c r="E1085" s="34">
        <v>203.58</v>
      </c>
      <c r="F1085" s="34">
        <f t="shared" si="54"/>
        <v>903.8952</v>
      </c>
      <c r="G1085" s="7"/>
      <c r="H1085" s="273" t="s">
        <v>997</v>
      </c>
      <c r="I1085" s="273" t="s">
        <v>863</v>
      </c>
      <c r="J1085" s="34">
        <f t="shared" si="55"/>
        <v>4.44</v>
      </c>
      <c r="K1085" s="34">
        <v>203.58</v>
      </c>
      <c r="L1085" s="34">
        <f t="shared" si="56"/>
        <v>903.8952</v>
      </c>
    </row>
    <row r="1086" ht="15" customHeight="1" spans="1:12">
      <c r="A1086" s="7"/>
      <c r="B1086" s="273" t="s">
        <v>998</v>
      </c>
      <c r="C1086" s="273" t="s">
        <v>863</v>
      </c>
      <c r="D1086" s="34">
        <f t="shared" si="53"/>
        <v>4.5</v>
      </c>
      <c r="E1086" s="34">
        <v>89</v>
      </c>
      <c r="F1086" s="34">
        <f t="shared" si="54"/>
        <v>400.5</v>
      </c>
      <c r="G1086" s="7"/>
      <c r="H1086" s="273" t="s">
        <v>998</v>
      </c>
      <c r="I1086" s="273" t="s">
        <v>863</v>
      </c>
      <c r="J1086" s="34">
        <f t="shared" si="55"/>
        <v>4.5</v>
      </c>
      <c r="K1086" s="34">
        <v>89</v>
      </c>
      <c r="L1086" s="34">
        <f t="shared" si="56"/>
        <v>400.5</v>
      </c>
    </row>
    <row r="1087" ht="15" customHeight="1" spans="1:12">
      <c r="A1087" s="7"/>
      <c r="B1087" s="273" t="s">
        <v>999</v>
      </c>
      <c r="C1087" s="273" t="s">
        <v>863</v>
      </c>
      <c r="D1087" s="34">
        <f>基础材料表!D16</f>
        <v>5.15</v>
      </c>
      <c r="E1087" s="34">
        <v>100.64</v>
      </c>
      <c r="F1087" s="34">
        <f t="shared" si="54"/>
        <v>518.296</v>
      </c>
      <c r="G1087" s="7"/>
      <c r="H1087" s="273" t="s">
        <v>999</v>
      </c>
      <c r="I1087" s="273" t="s">
        <v>863</v>
      </c>
      <c r="J1087" s="34">
        <f t="shared" si="55"/>
        <v>5.15</v>
      </c>
      <c r="K1087" s="34">
        <v>100.64</v>
      </c>
      <c r="L1087" s="34">
        <f t="shared" si="56"/>
        <v>518.296</v>
      </c>
    </row>
    <row r="1088" ht="15" customHeight="1" spans="1:12">
      <c r="A1088" s="7"/>
      <c r="B1088" s="273" t="s">
        <v>1001</v>
      </c>
      <c r="C1088" s="273" t="s">
        <v>863</v>
      </c>
      <c r="D1088" s="34">
        <f>基础材料表!D32</f>
        <v>6.39</v>
      </c>
      <c r="E1088" s="34">
        <v>108</v>
      </c>
      <c r="F1088" s="34">
        <f t="shared" si="54"/>
        <v>690.12</v>
      </c>
      <c r="G1088" s="7"/>
      <c r="H1088" s="273" t="s">
        <v>1001</v>
      </c>
      <c r="I1088" s="273" t="s">
        <v>863</v>
      </c>
      <c r="J1088" s="34">
        <f t="shared" si="55"/>
        <v>6.39</v>
      </c>
      <c r="K1088" s="34">
        <v>108</v>
      </c>
      <c r="L1088" s="34">
        <f t="shared" si="56"/>
        <v>690.12</v>
      </c>
    </row>
    <row r="1089" ht="15" customHeight="1" spans="1:12">
      <c r="A1089" s="7"/>
      <c r="B1089" s="273" t="s">
        <v>1002</v>
      </c>
      <c r="C1089" s="273" t="s">
        <v>863</v>
      </c>
      <c r="D1089" s="34">
        <f>基础材料表!D5</f>
        <v>5.97</v>
      </c>
      <c r="E1089" s="34">
        <v>0.39</v>
      </c>
      <c r="F1089" s="34">
        <f t="shared" si="54"/>
        <v>2.3283</v>
      </c>
      <c r="G1089" s="7"/>
      <c r="H1089" s="273" t="s">
        <v>1002</v>
      </c>
      <c r="I1089" s="273" t="s">
        <v>863</v>
      </c>
      <c r="J1089" s="34">
        <f t="shared" si="55"/>
        <v>5.97</v>
      </c>
      <c r="K1089" s="34">
        <v>0.39</v>
      </c>
      <c r="L1089" s="34">
        <f t="shared" si="56"/>
        <v>2.3283</v>
      </c>
    </row>
    <row r="1090" ht="15" customHeight="1" spans="1:12">
      <c r="A1090" s="7"/>
      <c r="B1090" s="7" t="s">
        <v>1003</v>
      </c>
      <c r="C1090" s="7" t="s">
        <v>169</v>
      </c>
      <c r="D1090" s="34">
        <f>配合比!M8</f>
        <v>176.3536095</v>
      </c>
      <c r="E1090" s="34">
        <v>103</v>
      </c>
      <c r="F1090" s="34">
        <f t="shared" si="54"/>
        <v>18164.4217785</v>
      </c>
      <c r="G1090" s="7"/>
      <c r="H1090" s="7" t="s">
        <v>1003</v>
      </c>
      <c r="I1090" s="7" t="s">
        <v>169</v>
      </c>
      <c r="J1090" s="34">
        <f t="shared" si="55"/>
        <v>176.3536095</v>
      </c>
      <c r="K1090" s="34">
        <v>103</v>
      </c>
      <c r="L1090" s="34">
        <f t="shared" si="56"/>
        <v>18164.4217785</v>
      </c>
    </row>
    <row r="1091" ht="15" customHeight="1" spans="1:12">
      <c r="A1091" s="7"/>
      <c r="B1091" s="7" t="s">
        <v>913</v>
      </c>
      <c r="C1091" s="7" t="s">
        <v>169</v>
      </c>
      <c r="D1091" s="34">
        <f>材料预算价!K13</f>
        <v>3.59</v>
      </c>
      <c r="E1091" s="34">
        <v>140</v>
      </c>
      <c r="F1091" s="34">
        <f t="shared" si="54"/>
        <v>502.6</v>
      </c>
      <c r="G1091" s="7"/>
      <c r="H1091" s="7" t="s">
        <v>913</v>
      </c>
      <c r="I1091" s="7" t="s">
        <v>169</v>
      </c>
      <c r="J1091" s="34">
        <f t="shared" si="55"/>
        <v>3.59</v>
      </c>
      <c r="K1091" s="34">
        <v>140</v>
      </c>
      <c r="L1091" s="34">
        <f t="shared" si="56"/>
        <v>502.6</v>
      </c>
    </row>
    <row r="1092" ht="15" customHeight="1" spans="1:12">
      <c r="A1092" s="7"/>
      <c r="B1092" s="7" t="s">
        <v>1004</v>
      </c>
      <c r="C1092" s="9" t="s">
        <v>845</v>
      </c>
      <c r="D1092" s="34">
        <f>F1084+F1085+F1086+F1087+F1088+F1089+F1090++F1091</f>
        <v>21338.82184025</v>
      </c>
      <c r="E1092" s="34">
        <v>2</v>
      </c>
      <c r="F1092" s="34">
        <f>D1092*E1092/100</f>
        <v>426.776436805</v>
      </c>
      <c r="G1092" s="7"/>
      <c r="H1092" s="7" t="s">
        <v>1004</v>
      </c>
      <c r="I1092" s="9" t="s">
        <v>845</v>
      </c>
      <c r="J1092" s="34">
        <f>L1084+L1085+L1086+L1087+L1088+L1089+L1090++L1091</f>
        <v>21338.82184025</v>
      </c>
      <c r="K1092" s="34">
        <v>2</v>
      </c>
      <c r="L1092" s="34">
        <f>J1092*K1092/100</f>
        <v>426.776436805</v>
      </c>
    </row>
    <row r="1093" ht="15" customHeight="1" spans="1:12">
      <c r="A1093" s="7">
        <v>3</v>
      </c>
      <c r="B1093" s="7" t="s">
        <v>859</v>
      </c>
      <c r="C1093" s="7"/>
      <c r="D1093" s="34"/>
      <c r="E1093" s="34"/>
      <c r="F1093" s="34">
        <f>SUM(F1094:F1099)</f>
        <v>758.609824766055</v>
      </c>
      <c r="G1093" s="7">
        <v>3</v>
      </c>
      <c r="H1093" s="7" t="s">
        <v>859</v>
      </c>
      <c r="I1093" s="7"/>
      <c r="J1093" s="34"/>
      <c r="K1093" s="34"/>
      <c r="L1093" s="34">
        <f>SUM(L1094:L1099)</f>
        <v>758.609824766055</v>
      </c>
    </row>
    <row r="1094" ht="15" customHeight="1" spans="1:12">
      <c r="A1094" s="7"/>
      <c r="B1094" s="7" t="s">
        <v>1005</v>
      </c>
      <c r="C1094" s="7" t="s">
        <v>428</v>
      </c>
      <c r="D1094" s="34">
        <f>D1047</f>
        <v>49.389824491424</v>
      </c>
      <c r="E1094" s="34">
        <v>0.71</v>
      </c>
      <c r="F1094" s="34">
        <f>D1094*E1094</f>
        <v>35.066775388911</v>
      </c>
      <c r="G1094" s="7"/>
      <c r="H1094" s="7" t="s">
        <v>1005</v>
      </c>
      <c r="I1094" s="7" t="s">
        <v>428</v>
      </c>
      <c r="J1094" s="34">
        <f>D1094</f>
        <v>49.389824491424</v>
      </c>
      <c r="K1094" s="34">
        <v>0.71</v>
      </c>
      <c r="L1094" s="34">
        <f>J1094*K1094</f>
        <v>35.066775388911</v>
      </c>
    </row>
    <row r="1095" ht="15" customHeight="1" spans="1:12">
      <c r="A1095" s="7"/>
      <c r="B1095" s="7" t="s">
        <v>1007</v>
      </c>
      <c r="C1095" s="7" t="s">
        <v>428</v>
      </c>
      <c r="D1095" s="34">
        <f>D1049</f>
        <v>8.3371858795373</v>
      </c>
      <c r="E1095" s="251">
        <v>0.58</v>
      </c>
      <c r="F1095" s="34">
        <f>D1095*E1095</f>
        <v>4.83556781013163</v>
      </c>
      <c r="G1095" s="7"/>
      <c r="H1095" s="7" t="s">
        <v>1007</v>
      </c>
      <c r="I1095" s="7" t="s">
        <v>428</v>
      </c>
      <c r="J1095" s="34">
        <f>D1095</f>
        <v>8.3371858795373</v>
      </c>
      <c r="K1095" s="251">
        <v>0.58</v>
      </c>
      <c r="L1095" s="34">
        <f>J1095*K1095</f>
        <v>4.83556781013163</v>
      </c>
    </row>
    <row r="1096" ht="15" customHeight="1" spans="1:12">
      <c r="A1096" s="7"/>
      <c r="B1096" s="7" t="s">
        <v>1008</v>
      </c>
      <c r="C1096" s="7" t="s">
        <v>428</v>
      </c>
      <c r="D1096" s="34">
        <f>D1050</f>
        <v>23.9179521340247</v>
      </c>
      <c r="E1096" s="34">
        <v>18.54</v>
      </c>
      <c r="F1096" s="34">
        <f>D1096*E1096</f>
        <v>443.438832564818</v>
      </c>
      <c r="G1096" s="7"/>
      <c r="H1096" s="7" t="s">
        <v>1008</v>
      </c>
      <c r="I1096" s="7" t="s">
        <v>428</v>
      </c>
      <c r="J1096" s="34">
        <f>D1096</f>
        <v>23.9179521340247</v>
      </c>
      <c r="K1096" s="34">
        <v>18.54</v>
      </c>
      <c r="L1096" s="34">
        <f>J1096*K1096</f>
        <v>443.438832564818</v>
      </c>
    </row>
    <row r="1097" ht="15" customHeight="1" spans="1:12">
      <c r="A1097" s="7"/>
      <c r="B1097" s="7" t="s">
        <v>1021</v>
      </c>
      <c r="C1097" s="7" t="s">
        <v>428</v>
      </c>
      <c r="D1097" s="34">
        <f>台时!C84</f>
        <v>2.41252772237734</v>
      </c>
      <c r="E1097" s="34">
        <v>40.05</v>
      </c>
      <c r="F1097" s="34">
        <f>D1097*E1097</f>
        <v>96.6217352812126</v>
      </c>
      <c r="G1097" s="7"/>
      <c r="H1097" s="7" t="s">
        <v>1021</v>
      </c>
      <c r="I1097" s="7" t="s">
        <v>428</v>
      </c>
      <c r="J1097" s="34">
        <f>D1097</f>
        <v>2.41252772237734</v>
      </c>
      <c r="K1097" s="34">
        <v>40.05</v>
      </c>
      <c r="L1097" s="34">
        <f>J1097*K1097</f>
        <v>96.6217352812126</v>
      </c>
    </row>
    <row r="1098" ht="15" customHeight="1" spans="1:12">
      <c r="A1098" s="7"/>
      <c r="B1098" s="7" t="s">
        <v>967</v>
      </c>
      <c r="C1098" s="7" t="s">
        <v>428</v>
      </c>
      <c r="D1098" s="34">
        <f>D1052</f>
        <v>0.813242919824491</v>
      </c>
      <c r="E1098" s="34">
        <v>98</v>
      </c>
      <c r="F1098" s="34">
        <f>D1098*E1098</f>
        <v>79.6978061428002</v>
      </c>
      <c r="G1098" s="7"/>
      <c r="H1098" s="7" t="s">
        <v>967</v>
      </c>
      <c r="I1098" s="7" t="s">
        <v>428</v>
      </c>
      <c r="J1098" s="34">
        <f>D1098</f>
        <v>0.813242919824491</v>
      </c>
      <c r="K1098" s="34">
        <v>98</v>
      </c>
      <c r="L1098" s="34">
        <f>J1098*K1098</f>
        <v>79.6978061428002</v>
      </c>
    </row>
    <row r="1099" ht="15" customHeight="1" spans="1:12">
      <c r="A1099" s="7"/>
      <c r="B1099" s="7" t="s">
        <v>918</v>
      </c>
      <c r="C1099" s="9" t="s">
        <v>845</v>
      </c>
      <c r="D1099" s="34">
        <f>SUM(F1094:F1098)</f>
        <v>659.660717187874</v>
      </c>
      <c r="E1099" s="247">
        <v>15</v>
      </c>
      <c r="F1099" s="34">
        <f>D1099*E1099/100</f>
        <v>98.9491075781811</v>
      </c>
      <c r="G1099" s="7"/>
      <c r="H1099" s="7" t="s">
        <v>918</v>
      </c>
      <c r="I1099" s="9" t="s">
        <v>845</v>
      </c>
      <c r="J1099" s="34">
        <f>SUM(L1094:L1098)</f>
        <v>659.660717187874</v>
      </c>
      <c r="K1099" s="247">
        <v>15</v>
      </c>
      <c r="L1099" s="34">
        <f>J1099*K1099/100</f>
        <v>98.9491075781811</v>
      </c>
    </row>
    <row r="1100" ht="15" customHeight="1" spans="1:12">
      <c r="A1100" s="5">
        <v>4</v>
      </c>
      <c r="B1100" s="5" t="s">
        <v>1010</v>
      </c>
      <c r="C1100" s="275"/>
      <c r="D1100" s="276"/>
      <c r="E1100" s="276"/>
      <c r="F1100" s="276">
        <f>SUM(F1101:F1102)</f>
        <v>1991.65619138815</v>
      </c>
      <c r="G1100" s="5">
        <v>4</v>
      </c>
      <c r="H1100" s="5" t="s">
        <v>1010</v>
      </c>
      <c r="I1100" s="275"/>
      <c r="J1100" s="276"/>
      <c r="K1100" s="276"/>
      <c r="L1100" s="276">
        <f>SUM(L1101:L1102)</f>
        <v>1991.65619138815</v>
      </c>
    </row>
    <row r="1101" ht="15" customHeight="1" spans="1:12">
      <c r="A1101" s="7"/>
      <c r="B1101" s="123" t="s">
        <v>681</v>
      </c>
      <c r="C1101" s="123" t="s">
        <v>169</v>
      </c>
      <c r="D1101" s="274">
        <f>$F$2795/100</f>
        <v>5.03319379720782</v>
      </c>
      <c r="E1101" s="274">
        <v>103</v>
      </c>
      <c r="F1101" s="34">
        <f>D1101*E1101</f>
        <v>518.418961112405</v>
      </c>
      <c r="G1101" s="7"/>
      <c r="H1101" s="123" t="s">
        <v>681</v>
      </c>
      <c r="I1101" s="123" t="s">
        <v>169</v>
      </c>
      <c r="J1101" s="274">
        <f>$F$2795/100</f>
        <v>5.03319379720782</v>
      </c>
      <c r="K1101" s="274">
        <v>103</v>
      </c>
      <c r="L1101" s="34">
        <f>J1101*K1101</f>
        <v>518.418961112405</v>
      </c>
    </row>
    <row r="1102" ht="15" customHeight="1" spans="1:12">
      <c r="A1102" s="7"/>
      <c r="B1102" s="123" t="s">
        <v>682</v>
      </c>
      <c r="C1102" s="123" t="s">
        <v>169</v>
      </c>
      <c r="D1102" s="274">
        <f>$F$2813/100</f>
        <v>14.303274080347</v>
      </c>
      <c r="E1102" s="274">
        <v>103</v>
      </c>
      <c r="F1102" s="34">
        <f>D1102*E1102</f>
        <v>1473.23723027574</v>
      </c>
      <c r="G1102" s="7"/>
      <c r="H1102" s="123" t="s">
        <v>682</v>
      </c>
      <c r="I1102" s="123" t="s">
        <v>169</v>
      </c>
      <c r="J1102" s="274">
        <f>$F$2813/100</f>
        <v>14.303274080347</v>
      </c>
      <c r="K1102" s="274">
        <v>103</v>
      </c>
      <c r="L1102" s="34">
        <f>J1102*K1102</f>
        <v>1473.23723027574</v>
      </c>
    </row>
    <row r="1103" ht="15" customHeight="1" spans="1:12">
      <c r="A1103" s="7" t="s">
        <v>564</v>
      </c>
      <c r="B1103" s="7" t="s">
        <v>846</v>
      </c>
      <c r="C1103" s="230">
        <f>取费表!$C$7</f>
        <v>0.048</v>
      </c>
      <c r="D1103" s="274"/>
      <c r="E1103" s="274">
        <f>F1079</f>
        <v>35856.9242932092</v>
      </c>
      <c r="F1103" s="34">
        <f>E1103*C1103</f>
        <v>1721.13236607404</v>
      </c>
      <c r="G1103" s="7" t="s">
        <v>564</v>
      </c>
      <c r="H1103" s="7" t="s">
        <v>846</v>
      </c>
      <c r="I1103" s="230">
        <f>取费表!$C$7</f>
        <v>0.048</v>
      </c>
      <c r="J1103" s="274"/>
      <c r="K1103" s="274">
        <f>L1079</f>
        <v>35856.9242932092</v>
      </c>
      <c r="L1103" s="34">
        <f>K1103*I1103</f>
        <v>1721.13236607404</v>
      </c>
    </row>
    <row r="1104" ht="15" customHeight="1" spans="1:12">
      <c r="A1104" s="7"/>
      <c r="B1104" s="7"/>
      <c r="C1104" s="230"/>
      <c r="D1104" s="274"/>
      <c r="E1104" s="274"/>
      <c r="F1104" s="34"/>
      <c r="G1104" s="7"/>
      <c r="H1104" s="7"/>
      <c r="I1104" s="230"/>
      <c r="J1104" s="274"/>
      <c r="K1104" s="274"/>
      <c r="L1104" s="34"/>
    </row>
    <row r="1105" ht="15" customHeight="1" spans="1:12">
      <c r="A1105" s="7" t="s">
        <v>439</v>
      </c>
      <c r="B1105" s="7" t="s">
        <v>847</v>
      </c>
      <c r="C1105" s="230">
        <f>取费表!$E$7</f>
        <v>0.07</v>
      </c>
      <c r="D1105" s="274"/>
      <c r="E1105" s="274">
        <f>F1078</f>
        <v>37578.0566592833</v>
      </c>
      <c r="F1105" s="34">
        <f>E1105*C1105</f>
        <v>2630.46396614983</v>
      </c>
      <c r="G1105" s="7" t="s">
        <v>439</v>
      </c>
      <c r="H1105" s="7" t="s">
        <v>847</v>
      </c>
      <c r="I1105" s="230">
        <f>取费表!$E$7</f>
        <v>0.07</v>
      </c>
      <c r="J1105" s="274"/>
      <c r="K1105" s="274">
        <f>L1078</f>
        <v>37578.0566592833</v>
      </c>
      <c r="L1105" s="34">
        <f>K1105*I1105</f>
        <v>2630.46396614983</v>
      </c>
    </row>
    <row r="1106" ht="15" customHeight="1" spans="1:12">
      <c r="A1106" s="7" t="s">
        <v>83</v>
      </c>
      <c r="B1106" s="7" t="s">
        <v>848</v>
      </c>
      <c r="C1106" s="230">
        <f>取费表!$F$7</f>
        <v>0.07</v>
      </c>
      <c r="D1106" s="274"/>
      <c r="E1106" s="274">
        <f>F1105+F1078</f>
        <v>40208.5206254331</v>
      </c>
      <c r="F1106" s="34">
        <f>E1106*C1106</f>
        <v>2814.59644378032</v>
      </c>
      <c r="G1106" s="7" t="s">
        <v>83</v>
      </c>
      <c r="H1106" s="7" t="s">
        <v>848</v>
      </c>
      <c r="I1106" s="230">
        <f>取费表!$F$7</f>
        <v>0.07</v>
      </c>
      <c r="J1106" s="274"/>
      <c r="K1106" s="274">
        <f>L1105+L1078</f>
        <v>40208.5206254331</v>
      </c>
      <c r="L1106" s="34">
        <f>K1106*I1106</f>
        <v>2814.59644378032</v>
      </c>
    </row>
    <row r="1107" ht="15" customHeight="1" spans="1:12">
      <c r="A1107" s="5" t="s">
        <v>121</v>
      </c>
      <c r="B1107" s="5" t="s">
        <v>861</v>
      </c>
      <c r="C1107" s="275"/>
      <c r="D1107" s="276"/>
      <c r="E1107" s="5"/>
      <c r="F1107" s="277">
        <f>F1108+F1113</f>
        <v>8981.63677301364</v>
      </c>
      <c r="G1107" s="5" t="s">
        <v>121</v>
      </c>
      <c r="H1107" s="5" t="s">
        <v>861</v>
      </c>
      <c r="I1107" s="275"/>
      <c r="J1107" s="276"/>
      <c r="K1107" s="5"/>
      <c r="L1107" s="277">
        <f>L1108+L1113</f>
        <v>12894.0855692927</v>
      </c>
    </row>
    <row r="1108" ht="15" customHeight="1" spans="1:12">
      <c r="A1108" s="7">
        <v>1</v>
      </c>
      <c r="B1108" s="7" t="s">
        <v>1011</v>
      </c>
      <c r="C1108" s="9"/>
      <c r="D1108" s="34"/>
      <c r="E1108" s="7"/>
      <c r="F1108" s="69">
        <f>SUM(F1109:F1112)</f>
        <v>8951.34817301364</v>
      </c>
      <c r="G1108" s="7">
        <v>1</v>
      </c>
      <c r="H1108" s="7" t="s">
        <v>1011</v>
      </c>
      <c r="I1108" s="9"/>
      <c r="J1108" s="34"/>
      <c r="K1108" s="7"/>
      <c r="L1108" s="69">
        <f>SUM(L1109:L1112)</f>
        <v>12863.7969692927</v>
      </c>
    </row>
    <row r="1109" ht="15" customHeight="1" spans="1:12">
      <c r="A1109" s="7"/>
      <c r="B1109" s="7"/>
      <c r="C1109" s="7"/>
      <c r="D1109" s="34"/>
      <c r="E1109" s="34"/>
      <c r="F1109" s="69"/>
      <c r="G1109" s="7"/>
      <c r="H1109" s="7"/>
      <c r="I1109" s="7"/>
      <c r="J1109" s="34"/>
      <c r="K1109" s="34"/>
      <c r="L1109" s="69"/>
    </row>
    <row r="1110" ht="15" customHeight="1" spans="1:12">
      <c r="A1110" s="7"/>
      <c r="B1110" s="7" t="s">
        <v>979</v>
      </c>
      <c r="C1110" s="7" t="s">
        <v>200</v>
      </c>
      <c r="D1110" s="34">
        <f>材料预算价!K5-材料预算价!L5</f>
        <v>141.58936</v>
      </c>
      <c r="E1110" s="34">
        <f>E1090*配合比!E8</f>
        <v>31.641291</v>
      </c>
      <c r="F1110" s="69">
        <f>D1110*E1110</f>
        <v>4480.07014226376</v>
      </c>
      <c r="G1110" s="7"/>
      <c r="H1110" s="7" t="s">
        <v>983</v>
      </c>
      <c r="I1110" s="7" t="s">
        <v>200</v>
      </c>
      <c r="J1110" s="34">
        <f>材料预算价!K6-材料预算价!L6</f>
        <v>265.23946</v>
      </c>
      <c r="K1110" s="34">
        <f>E1110</f>
        <v>31.641291</v>
      </c>
      <c r="L1110" s="69">
        <f>J1110*K1110</f>
        <v>8392.51893854286</v>
      </c>
    </row>
    <row r="1111" ht="15" customHeight="1" spans="1:12">
      <c r="A1111" s="7"/>
      <c r="B1111" s="7" t="s">
        <v>961</v>
      </c>
      <c r="C1111" s="7" t="s">
        <v>169</v>
      </c>
      <c r="D1111" s="34">
        <f>D1065</f>
        <v>34.366056</v>
      </c>
      <c r="E1111" s="34">
        <f>E1090*配合比!G8</f>
        <v>56.62734</v>
      </c>
      <c r="F1111" s="69">
        <f>D1111*E1111</f>
        <v>1946.05833757104</v>
      </c>
      <c r="G1111" s="7"/>
      <c r="H1111" s="7" t="s">
        <v>961</v>
      </c>
      <c r="I1111" s="7" t="s">
        <v>169</v>
      </c>
      <c r="J1111" s="34">
        <f>D1111</f>
        <v>34.366056</v>
      </c>
      <c r="K1111" s="34">
        <f>E1111</f>
        <v>56.62734</v>
      </c>
      <c r="L1111" s="69">
        <f>J1111*K1111</f>
        <v>1946.05833757104</v>
      </c>
    </row>
    <row r="1112" ht="15" customHeight="1" spans="1:12">
      <c r="A1112" s="7"/>
      <c r="B1112" s="7" t="s">
        <v>1012</v>
      </c>
      <c r="C1112" s="7" t="s">
        <v>169</v>
      </c>
      <c r="D1112" s="34">
        <f>材料预算价!K8-材料预算价!L8</f>
        <v>29.13701</v>
      </c>
      <c r="E1112" s="34">
        <f>E1090*配合比!I8</f>
        <v>86.667084</v>
      </c>
      <c r="F1112" s="69">
        <f>D1112*E1112</f>
        <v>2525.21969317884</v>
      </c>
      <c r="G1112" s="7"/>
      <c r="H1112" s="7" t="s">
        <v>1012</v>
      </c>
      <c r="I1112" s="7" t="s">
        <v>169</v>
      </c>
      <c r="J1112" s="34">
        <f>D1112</f>
        <v>29.13701</v>
      </c>
      <c r="K1112" s="34">
        <f>E1112</f>
        <v>86.667084</v>
      </c>
      <c r="L1112" s="69">
        <f>J1112*K1112</f>
        <v>2525.21969317884</v>
      </c>
    </row>
    <row r="1113" ht="15" customHeight="1" spans="1:12">
      <c r="A1113" s="7">
        <v>2</v>
      </c>
      <c r="B1113" s="7" t="s">
        <v>1013</v>
      </c>
      <c r="C1113" s="7"/>
      <c r="D1113" s="34"/>
      <c r="E1113" s="38"/>
      <c r="F1113" s="69">
        <f>SUM(F1114:F1115)</f>
        <v>30.2886</v>
      </c>
      <c r="G1113" s="7">
        <v>2</v>
      </c>
      <c r="H1113" s="7" t="s">
        <v>1013</v>
      </c>
      <c r="I1113" s="7"/>
      <c r="J1113" s="34"/>
      <c r="K1113" s="38"/>
      <c r="L1113" s="69">
        <f>SUM(L1114:L1115)</f>
        <v>30.2886</v>
      </c>
    </row>
    <row r="1114" ht="15" customHeight="1" spans="1:12">
      <c r="A1114" s="7"/>
      <c r="B1114" s="7" t="s">
        <v>1014</v>
      </c>
      <c r="C1114" s="7" t="s">
        <v>863</v>
      </c>
      <c r="D1114" s="34">
        <f>材料预算价!K12-材料预算价!L12</f>
        <v>5.925</v>
      </c>
      <c r="E1114" s="38">
        <f>E1094*台时!H34</f>
        <v>5.112</v>
      </c>
      <c r="F1114" s="69">
        <f>D1114*E1114</f>
        <v>30.2886</v>
      </c>
      <c r="G1114" s="7"/>
      <c r="H1114" s="7" t="s">
        <v>1014</v>
      </c>
      <c r="I1114" s="7" t="s">
        <v>863</v>
      </c>
      <c r="J1114" s="34">
        <f>D1114</f>
        <v>5.925</v>
      </c>
      <c r="K1114" s="38">
        <f>E1114</f>
        <v>5.112</v>
      </c>
      <c r="L1114" s="69">
        <f>J1114*K1114</f>
        <v>30.2886</v>
      </c>
    </row>
    <row r="1115" ht="15" customHeight="1" spans="1:12">
      <c r="A1115" s="7"/>
      <c r="B1115" s="7" t="s">
        <v>862</v>
      </c>
      <c r="C1115" s="7" t="s">
        <v>863</v>
      </c>
      <c r="D1115" s="34">
        <f>材料预算价!K11-材料预算价!L11</f>
        <v>4.58</v>
      </c>
      <c r="E1115" s="38"/>
      <c r="F1115" s="69">
        <f>D1115*E1115</f>
        <v>0</v>
      </c>
      <c r="G1115" s="7"/>
      <c r="H1115" s="7" t="s">
        <v>862</v>
      </c>
      <c r="I1115" s="7" t="s">
        <v>863</v>
      </c>
      <c r="J1115" s="34">
        <f>D1115</f>
        <v>4.58</v>
      </c>
      <c r="K1115" s="38"/>
      <c r="L1115" s="69">
        <f>J1115*K1115</f>
        <v>0</v>
      </c>
    </row>
    <row r="1116" ht="15" customHeight="1" spans="1:12">
      <c r="A1116" s="7" t="s">
        <v>135</v>
      </c>
      <c r="B1116" s="7" t="s">
        <v>849</v>
      </c>
      <c r="C1116" s="231">
        <f>C1070</f>
        <v>0.09</v>
      </c>
      <c r="D1116" s="34"/>
      <c r="E1116" s="34">
        <f>F1107+F1106+F1105+F1078</f>
        <v>52004.7538422271</v>
      </c>
      <c r="F1116" s="34">
        <f>E1116*C1116</f>
        <v>4680.42784580044</v>
      </c>
      <c r="G1116" s="7" t="s">
        <v>135</v>
      </c>
      <c r="H1116" s="7" t="s">
        <v>849</v>
      </c>
      <c r="I1116" s="231">
        <f>C1116</f>
        <v>0.09</v>
      </c>
      <c r="J1116" s="34"/>
      <c r="K1116" s="34">
        <f>L1107+L1106+L1105+L1078</f>
        <v>55917.2026385061</v>
      </c>
      <c r="L1116" s="34">
        <f>K1116*I1116</f>
        <v>5032.54823746555</v>
      </c>
    </row>
    <row r="1117" ht="15" customHeight="1" spans="1:12">
      <c r="A1117" s="7"/>
      <c r="B1117" s="7" t="s">
        <v>850</v>
      </c>
      <c r="C1117" s="231"/>
      <c r="D1117" s="34"/>
      <c r="E1117" s="34"/>
      <c r="F1117" s="34">
        <f>(F1078+F1105+F1106+F1107+F1116)*取费表!H4</f>
        <v>1700.55545064083</v>
      </c>
      <c r="G1117" s="7"/>
      <c r="H1117" s="7" t="s">
        <v>850</v>
      </c>
      <c r="I1117" s="231"/>
      <c r="J1117" s="34"/>
      <c r="K1117" s="34"/>
      <c r="L1117" s="34">
        <f>(L1078+L1105+L1106+L1107+L1116)*取费表!H7</f>
        <v>1828.49252627915</v>
      </c>
    </row>
    <row r="1118" ht="15" customHeight="1" spans="1:12">
      <c r="A1118" s="7"/>
      <c r="B1118" s="7" t="s">
        <v>156</v>
      </c>
      <c r="C1118" s="7"/>
      <c r="D1118" s="34"/>
      <c r="E1118" s="34"/>
      <c r="F1118" s="34">
        <f>F1116+E1116+F1117</f>
        <v>58385.7371386684</v>
      </c>
      <c r="G1118" s="7"/>
      <c r="H1118" s="7" t="s">
        <v>156</v>
      </c>
      <c r="I1118" s="7"/>
      <c r="J1118" s="34"/>
      <c r="K1118" s="34"/>
      <c r="L1118" s="34">
        <f>L1116+K1116+L1117</f>
        <v>62778.2434022509</v>
      </c>
    </row>
    <row r="1119" ht="15" customHeight="1" spans="1:6">
      <c r="A1119" s="236" t="s">
        <v>828</v>
      </c>
      <c r="B1119" s="236"/>
      <c r="C1119" s="236"/>
      <c r="D1119" s="236"/>
      <c r="E1119" s="236"/>
      <c r="F1119" s="236"/>
    </row>
    <row r="1120" ht="15" customHeight="1" spans="1:6">
      <c r="A1120" s="278" t="s">
        <v>1022</v>
      </c>
      <c r="B1120" s="272"/>
      <c r="C1120" s="272"/>
      <c r="D1120" s="272"/>
      <c r="E1120" s="272"/>
      <c r="F1120" s="272"/>
    </row>
    <row r="1121" ht="15" customHeight="1" spans="1:6">
      <c r="A1121" s="227" t="s">
        <v>1019</v>
      </c>
      <c r="B1121" s="228"/>
      <c r="C1121" s="272"/>
      <c r="D1121" s="272"/>
      <c r="E1121" s="228" t="s">
        <v>832</v>
      </c>
      <c r="F1121" s="228"/>
    </row>
    <row r="1122" ht="15" customHeight="1" spans="1:6">
      <c r="A1122" s="232" t="s">
        <v>1020</v>
      </c>
      <c r="B1122" s="233"/>
      <c r="C1122" s="233"/>
      <c r="D1122" s="233"/>
      <c r="E1122" s="233"/>
      <c r="F1122" s="147"/>
    </row>
    <row r="1123" ht="15" customHeight="1" spans="1:6">
      <c r="A1123" s="7" t="s">
        <v>104</v>
      </c>
      <c r="B1123" s="7" t="s">
        <v>835</v>
      </c>
      <c r="C1123" s="7" t="s">
        <v>159</v>
      </c>
      <c r="D1123" s="7" t="s">
        <v>422</v>
      </c>
      <c r="E1123" s="7" t="s">
        <v>160</v>
      </c>
      <c r="F1123" s="7" t="s">
        <v>18</v>
      </c>
    </row>
    <row r="1124" ht="15" customHeight="1" spans="1:6">
      <c r="A1124" s="7" t="s">
        <v>836</v>
      </c>
      <c r="B1124" s="7" t="s">
        <v>837</v>
      </c>
      <c r="C1124" s="7"/>
      <c r="D1124" s="7"/>
      <c r="E1124" s="7"/>
      <c r="F1124" s="34">
        <f>F1125+F1149+F1150</f>
        <v>38337.1697736736</v>
      </c>
    </row>
    <row r="1125" ht="15" customHeight="1" spans="1:6">
      <c r="A1125" s="7" t="s">
        <v>539</v>
      </c>
      <c r="B1125" s="7" t="s">
        <v>838</v>
      </c>
      <c r="C1125" s="7"/>
      <c r="D1125" s="7"/>
      <c r="E1125" s="7"/>
      <c r="F1125" s="34">
        <f>F1126+F1129+F1139+F1146</f>
        <v>36581.2688680092</v>
      </c>
    </row>
    <row r="1126" ht="15" customHeight="1" spans="1:6">
      <c r="A1126" s="7">
        <v>1</v>
      </c>
      <c r="B1126" s="7" t="s">
        <v>839</v>
      </c>
      <c r="C1126" s="7" t="s">
        <v>840</v>
      </c>
      <c r="D1126" s="34"/>
      <c r="E1126" s="42">
        <f>SUM(E1127:E1128)</f>
        <v>1505.7</v>
      </c>
      <c r="F1126" s="69">
        <f>SUM(F1127:F1128)</f>
        <v>11341.06</v>
      </c>
    </row>
    <row r="1127" ht="15" customHeight="1" spans="1:6">
      <c r="A1127" s="7"/>
      <c r="B1127" s="7" t="s">
        <v>841</v>
      </c>
      <c r="C1127" s="7" t="s">
        <v>840</v>
      </c>
      <c r="D1127" s="69">
        <f>D1081</f>
        <v>8.1</v>
      </c>
      <c r="E1127" s="42">
        <v>1138.7</v>
      </c>
      <c r="F1127" s="69">
        <f>D1127*E1127</f>
        <v>9223.47</v>
      </c>
    </row>
    <row r="1128" ht="15" customHeight="1" spans="1:6">
      <c r="A1128" s="7"/>
      <c r="B1128" s="7" t="s">
        <v>842</v>
      </c>
      <c r="C1128" s="7" t="s">
        <v>840</v>
      </c>
      <c r="D1128" s="69">
        <f>D1082</f>
        <v>5.77</v>
      </c>
      <c r="E1128" s="42">
        <v>367</v>
      </c>
      <c r="F1128" s="69">
        <f>D1128*E1128</f>
        <v>2117.59</v>
      </c>
    </row>
    <row r="1129" ht="15" customHeight="1" spans="1:6">
      <c r="A1129" s="7">
        <v>2</v>
      </c>
      <c r="B1129" s="7" t="s">
        <v>912</v>
      </c>
      <c r="C1129" s="7"/>
      <c r="D1129" s="34"/>
      <c r="E1129" s="34"/>
      <c r="F1129" s="34">
        <f>SUM(F1130:F1138)</f>
        <v>22489.942851855</v>
      </c>
    </row>
    <row r="1130" ht="15" customHeight="1" spans="1:6">
      <c r="A1130" s="7"/>
      <c r="B1130" s="273" t="s">
        <v>996</v>
      </c>
      <c r="C1130" s="273" t="s">
        <v>169</v>
      </c>
      <c r="D1130" s="34">
        <f>D1084</f>
        <v>2238.008025</v>
      </c>
      <c r="E1130" s="34">
        <v>0.07</v>
      </c>
      <c r="F1130" s="34">
        <f t="shared" ref="F1130:F1137" si="57">D1130*E1130</f>
        <v>156.66056175</v>
      </c>
    </row>
    <row r="1131" ht="15" customHeight="1" spans="1:6">
      <c r="A1131" s="7"/>
      <c r="B1131" s="273" t="s">
        <v>997</v>
      </c>
      <c r="C1131" s="273" t="s">
        <v>863</v>
      </c>
      <c r="D1131" s="34">
        <f>基础材料表!D34</f>
        <v>4.44</v>
      </c>
      <c r="E1131" s="34">
        <v>203.58</v>
      </c>
      <c r="F1131" s="34">
        <f t="shared" si="57"/>
        <v>903.8952</v>
      </c>
    </row>
    <row r="1132" ht="15" customHeight="1" spans="1:6">
      <c r="A1132" s="7"/>
      <c r="B1132" s="273" t="s">
        <v>998</v>
      </c>
      <c r="C1132" s="273" t="s">
        <v>863</v>
      </c>
      <c r="D1132" s="34">
        <f>基础材料表!D30</f>
        <v>4.5</v>
      </c>
      <c r="E1132" s="34">
        <v>89</v>
      </c>
      <c r="F1132" s="34">
        <f t="shared" si="57"/>
        <v>400.5</v>
      </c>
    </row>
    <row r="1133" ht="15" customHeight="1" spans="1:6">
      <c r="A1133" s="7"/>
      <c r="B1133" s="273" t="s">
        <v>999</v>
      </c>
      <c r="C1133" s="273" t="s">
        <v>863</v>
      </c>
      <c r="D1133" s="34">
        <f>基础材料表!D16</f>
        <v>5.15</v>
      </c>
      <c r="E1133" s="34">
        <v>100.64</v>
      </c>
      <c r="F1133" s="34">
        <f t="shared" si="57"/>
        <v>518.296</v>
      </c>
    </row>
    <row r="1134" ht="15" customHeight="1" spans="1:6">
      <c r="A1134" s="7"/>
      <c r="B1134" s="273" t="s">
        <v>1001</v>
      </c>
      <c r="C1134" s="273" t="s">
        <v>863</v>
      </c>
      <c r="D1134" s="34">
        <f>基础材料表!D32</f>
        <v>6.39</v>
      </c>
      <c r="E1134" s="34">
        <v>108</v>
      </c>
      <c r="F1134" s="34">
        <f t="shared" si="57"/>
        <v>690.12</v>
      </c>
    </row>
    <row r="1135" ht="15" customHeight="1" spans="1:6">
      <c r="A1135" s="7"/>
      <c r="B1135" s="273" t="s">
        <v>1002</v>
      </c>
      <c r="C1135" s="273" t="s">
        <v>863</v>
      </c>
      <c r="D1135" s="34">
        <f>基础材料表!D5</f>
        <v>5.97</v>
      </c>
      <c r="E1135" s="34">
        <v>0.39</v>
      </c>
      <c r="F1135" s="34">
        <f t="shared" si="57"/>
        <v>2.3283</v>
      </c>
    </row>
    <row r="1136" ht="15" customHeight="1" spans="1:6">
      <c r="A1136" s="7"/>
      <c r="B1136" s="7" t="s">
        <v>1016</v>
      </c>
      <c r="C1136" s="7" t="s">
        <v>169</v>
      </c>
      <c r="D1136" s="34">
        <f>配合比!M10</f>
        <v>183.2481895</v>
      </c>
      <c r="E1136" s="34">
        <v>103</v>
      </c>
      <c r="F1136" s="34">
        <f t="shared" si="57"/>
        <v>18874.5635185</v>
      </c>
    </row>
    <row r="1137" ht="15" customHeight="1" spans="1:6">
      <c r="A1137" s="7"/>
      <c r="B1137" s="7" t="s">
        <v>913</v>
      </c>
      <c r="C1137" s="7" t="s">
        <v>169</v>
      </c>
      <c r="D1137" s="34">
        <f t="shared" ref="D1137:D1144" si="58">D1091</f>
        <v>3.59</v>
      </c>
      <c r="E1137" s="34">
        <v>140</v>
      </c>
      <c r="F1137" s="34">
        <f t="shared" si="57"/>
        <v>502.6</v>
      </c>
    </row>
    <row r="1138" ht="15" customHeight="1" spans="1:6">
      <c r="A1138" s="7"/>
      <c r="B1138" s="7" t="s">
        <v>1004</v>
      </c>
      <c r="C1138" s="9" t="s">
        <v>845</v>
      </c>
      <c r="D1138" s="34">
        <f>F1130+F1131+F1132+F1133+F1134+F1135+F1136++F1137</f>
        <v>22048.96358025</v>
      </c>
      <c r="E1138" s="34">
        <v>2</v>
      </c>
      <c r="F1138" s="34">
        <f>D1138*E1138/100</f>
        <v>440.979271605</v>
      </c>
    </row>
    <row r="1139" ht="15" customHeight="1" spans="1:6">
      <c r="A1139" s="7">
        <v>3</v>
      </c>
      <c r="B1139" s="7" t="s">
        <v>859</v>
      </c>
      <c r="C1139" s="7"/>
      <c r="D1139" s="34"/>
      <c r="E1139" s="34"/>
      <c r="F1139" s="34">
        <f>SUM(F1140:F1145)</f>
        <v>758.609824766055</v>
      </c>
    </row>
    <row r="1140" ht="15" customHeight="1" spans="1:6">
      <c r="A1140" s="7"/>
      <c r="B1140" s="7" t="s">
        <v>1005</v>
      </c>
      <c r="C1140" s="7" t="s">
        <v>428</v>
      </c>
      <c r="D1140" s="34">
        <f t="shared" si="58"/>
        <v>49.389824491424</v>
      </c>
      <c r="E1140" s="34">
        <v>0.71</v>
      </c>
      <c r="F1140" s="34">
        <f>D1140*E1140</f>
        <v>35.066775388911</v>
      </c>
    </row>
    <row r="1141" ht="15" customHeight="1" spans="1:6">
      <c r="A1141" s="7"/>
      <c r="B1141" s="7" t="s">
        <v>1007</v>
      </c>
      <c r="C1141" s="7" t="s">
        <v>428</v>
      </c>
      <c r="D1141" s="34">
        <f t="shared" si="58"/>
        <v>8.3371858795373</v>
      </c>
      <c r="E1141" s="251">
        <v>0.58</v>
      </c>
      <c r="F1141" s="34">
        <f>D1141*E1141</f>
        <v>4.83556781013163</v>
      </c>
    </row>
    <row r="1142" ht="15" customHeight="1" spans="1:6">
      <c r="A1142" s="7"/>
      <c r="B1142" s="7" t="s">
        <v>1008</v>
      </c>
      <c r="C1142" s="7" t="s">
        <v>428</v>
      </c>
      <c r="D1142" s="34">
        <f t="shared" si="58"/>
        <v>23.9179521340247</v>
      </c>
      <c r="E1142" s="34">
        <v>18.54</v>
      </c>
      <c r="F1142" s="34">
        <f>D1142*E1142</f>
        <v>443.438832564818</v>
      </c>
    </row>
    <row r="1143" ht="15" customHeight="1" spans="1:6">
      <c r="A1143" s="7"/>
      <c r="B1143" s="7" t="s">
        <v>1021</v>
      </c>
      <c r="C1143" s="7" t="s">
        <v>428</v>
      </c>
      <c r="D1143" s="34">
        <f t="shared" si="58"/>
        <v>2.41252772237734</v>
      </c>
      <c r="E1143" s="34">
        <v>40.05</v>
      </c>
      <c r="F1143" s="34">
        <f>D1143*E1143</f>
        <v>96.6217352812126</v>
      </c>
    </row>
    <row r="1144" ht="15" customHeight="1" spans="1:6">
      <c r="A1144" s="7"/>
      <c r="B1144" s="7" t="s">
        <v>967</v>
      </c>
      <c r="C1144" s="7" t="s">
        <v>428</v>
      </c>
      <c r="D1144" s="34">
        <f t="shared" si="58"/>
        <v>0.813242919824491</v>
      </c>
      <c r="E1144" s="34">
        <v>98</v>
      </c>
      <c r="F1144" s="34">
        <f>D1144*E1144</f>
        <v>79.6978061428002</v>
      </c>
    </row>
    <row r="1145" ht="15" customHeight="1" spans="1:6">
      <c r="A1145" s="7"/>
      <c r="B1145" s="7" t="s">
        <v>918</v>
      </c>
      <c r="C1145" s="9" t="s">
        <v>845</v>
      </c>
      <c r="D1145" s="34">
        <f>SUM(F1140:F1144)</f>
        <v>659.660717187874</v>
      </c>
      <c r="E1145" s="247">
        <v>15</v>
      </c>
      <c r="F1145" s="34">
        <f>D1145*E1145/100</f>
        <v>98.9491075781811</v>
      </c>
    </row>
    <row r="1146" ht="15" customHeight="1" spans="1:6">
      <c r="A1146" s="5">
        <v>4</v>
      </c>
      <c r="B1146" s="5" t="s">
        <v>1010</v>
      </c>
      <c r="C1146" s="275"/>
      <c r="D1146" s="276"/>
      <c r="E1146" s="276"/>
      <c r="F1146" s="276">
        <f>SUM(F1147:F1148)</f>
        <v>1991.65619138815</v>
      </c>
    </row>
    <row r="1147" ht="15" customHeight="1" spans="1:6">
      <c r="A1147" s="7"/>
      <c r="B1147" s="123" t="s">
        <v>681</v>
      </c>
      <c r="C1147" s="123" t="s">
        <v>169</v>
      </c>
      <c r="D1147" s="274">
        <f>$F$2795/100</f>
        <v>5.03319379720782</v>
      </c>
      <c r="E1147" s="274">
        <v>103</v>
      </c>
      <c r="F1147" s="34">
        <f>D1147*E1147</f>
        <v>518.418961112405</v>
      </c>
    </row>
    <row r="1148" ht="15" customHeight="1" spans="1:6">
      <c r="A1148" s="7"/>
      <c r="B1148" s="123" t="s">
        <v>682</v>
      </c>
      <c r="C1148" s="123" t="s">
        <v>169</v>
      </c>
      <c r="D1148" s="274">
        <f>$F$2813/100</f>
        <v>14.303274080347</v>
      </c>
      <c r="E1148" s="274">
        <v>103</v>
      </c>
      <c r="F1148" s="34">
        <f>D1148*E1148</f>
        <v>1473.23723027574</v>
      </c>
    </row>
    <row r="1149" ht="15" customHeight="1" spans="1:6">
      <c r="A1149" s="7" t="s">
        <v>564</v>
      </c>
      <c r="B1149" s="7" t="s">
        <v>846</v>
      </c>
      <c r="C1149" s="230">
        <f>取费表!$C$7</f>
        <v>0.048</v>
      </c>
      <c r="D1149" s="274"/>
      <c r="E1149" s="274">
        <f>F1125</f>
        <v>36581.2688680092</v>
      </c>
      <c r="F1149" s="34">
        <f>E1149*C1149</f>
        <v>1755.90090566444</v>
      </c>
    </row>
    <row r="1150" ht="15" customHeight="1" spans="1:6">
      <c r="A1150" s="7"/>
      <c r="B1150" s="7"/>
      <c r="C1150" s="230"/>
      <c r="D1150" s="274"/>
      <c r="E1150" s="274"/>
      <c r="F1150" s="34"/>
    </row>
    <row r="1151" ht="15" customHeight="1" spans="1:6">
      <c r="A1151" s="7" t="s">
        <v>439</v>
      </c>
      <c r="B1151" s="7" t="s">
        <v>847</v>
      </c>
      <c r="C1151" s="230">
        <f>取费表!$E$7</f>
        <v>0.07</v>
      </c>
      <c r="D1151" s="274"/>
      <c r="E1151" s="274">
        <f>F1124</f>
        <v>38337.1697736736</v>
      </c>
      <c r="F1151" s="34">
        <f>E1151*C1151</f>
        <v>2683.60188415716</v>
      </c>
    </row>
    <row r="1152" ht="15" customHeight="1" spans="1:6">
      <c r="A1152" s="7" t="s">
        <v>83</v>
      </c>
      <c r="B1152" s="7" t="s">
        <v>848</v>
      </c>
      <c r="C1152" s="230">
        <f>取费表!$F$7</f>
        <v>0.07</v>
      </c>
      <c r="D1152" s="274"/>
      <c r="E1152" s="274">
        <f>F1151+F1124</f>
        <v>41020.7716578308</v>
      </c>
      <c r="F1152" s="34">
        <f>E1152*C1152</f>
        <v>2871.45401604816</v>
      </c>
    </row>
    <row r="1153" ht="15" customHeight="1" spans="1:6">
      <c r="A1153" s="5" t="s">
        <v>121</v>
      </c>
      <c r="B1153" s="5" t="s">
        <v>861</v>
      </c>
      <c r="C1153" s="275"/>
      <c r="D1153" s="276"/>
      <c r="E1153" s="5"/>
      <c r="F1153" s="277">
        <f>F1154+F1159</f>
        <v>9427.11693860372</v>
      </c>
    </row>
    <row r="1154" ht="15" customHeight="1" spans="1:6">
      <c r="A1154" s="7">
        <v>1</v>
      </c>
      <c r="B1154" s="7" t="s">
        <v>1011</v>
      </c>
      <c r="C1154" s="9"/>
      <c r="D1154" s="34"/>
      <c r="E1154" s="7"/>
      <c r="F1154" s="69">
        <f>SUM(F1155:F1158)</f>
        <v>9396.82833860372</v>
      </c>
    </row>
    <row r="1155" ht="15" customHeight="1" spans="1:6">
      <c r="A1155" s="7"/>
      <c r="B1155" s="7"/>
      <c r="C1155" s="7"/>
      <c r="D1155" s="34"/>
      <c r="E1155" s="34"/>
      <c r="F1155" s="69"/>
    </row>
    <row r="1156" ht="15" customHeight="1" spans="1:6">
      <c r="A1156" s="7"/>
      <c r="B1156" s="7" t="s">
        <v>979</v>
      </c>
      <c r="C1156" s="7" t="s">
        <v>200</v>
      </c>
      <c r="D1156" s="34">
        <f t="shared" ref="D1156:D1161" si="59">D1110</f>
        <v>141.58936</v>
      </c>
      <c r="E1156" s="34">
        <f>E1136*配合比!E9</f>
        <v>35.641914</v>
      </c>
      <c r="F1156" s="69">
        <f>D1156*E1156</f>
        <v>5046.51579243504</v>
      </c>
    </row>
    <row r="1157" ht="15" customHeight="1" spans="1:6">
      <c r="A1157" s="7"/>
      <c r="B1157" s="7" t="s">
        <v>961</v>
      </c>
      <c r="C1157" s="7" t="s">
        <v>169</v>
      </c>
      <c r="D1157" s="34">
        <f t="shared" si="59"/>
        <v>34.366056</v>
      </c>
      <c r="E1157" s="34">
        <f>E1136*配合比!G9</f>
        <v>62.17904</v>
      </c>
      <c r="F1157" s="69">
        <f>D1157*E1157</f>
        <v>2136.84837066624</v>
      </c>
    </row>
    <row r="1158" ht="15" customHeight="1" spans="1:6">
      <c r="A1158" s="7"/>
      <c r="B1158" s="7" t="s">
        <v>1012</v>
      </c>
      <c r="C1158" s="7" t="s">
        <v>169</v>
      </c>
      <c r="D1158" s="34">
        <f t="shared" si="59"/>
        <v>29.13701</v>
      </c>
      <c r="E1158" s="34">
        <f>E1136*配合比!I9</f>
        <v>75.967444</v>
      </c>
      <c r="F1158" s="69">
        <f>D1158*E1158</f>
        <v>2213.46417550244</v>
      </c>
    </row>
    <row r="1159" ht="15" customHeight="1" spans="1:6">
      <c r="A1159" s="7">
        <v>2</v>
      </c>
      <c r="B1159" s="7" t="s">
        <v>1013</v>
      </c>
      <c r="C1159" s="7"/>
      <c r="D1159" s="34"/>
      <c r="E1159" s="38"/>
      <c r="F1159" s="69">
        <f>SUM(F1160:F1161)</f>
        <v>30.2886</v>
      </c>
    </row>
    <row r="1160" ht="15" customHeight="1" spans="1:6">
      <c r="A1160" s="7"/>
      <c r="B1160" s="7" t="s">
        <v>1014</v>
      </c>
      <c r="C1160" s="7" t="s">
        <v>863</v>
      </c>
      <c r="D1160" s="34">
        <f t="shared" si="59"/>
        <v>5.925</v>
      </c>
      <c r="E1160" s="38">
        <f>E1114</f>
        <v>5.112</v>
      </c>
      <c r="F1160" s="69">
        <f>D1160*E1160</f>
        <v>30.2886</v>
      </c>
    </row>
    <row r="1161" ht="15" customHeight="1" spans="1:6">
      <c r="A1161" s="7"/>
      <c r="B1161" s="7" t="s">
        <v>862</v>
      </c>
      <c r="C1161" s="7" t="s">
        <v>863</v>
      </c>
      <c r="D1161" s="34">
        <f t="shared" si="59"/>
        <v>4.58</v>
      </c>
      <c r="E1161" s="38"/>
      <c r="F1161" s="69">
        <f>D1161*E1161</f>
        <v>0</v>
      </c>
    </row>
    <row r="1162" ht="15" customHeight="1" spans="1:6">
      <c r="A1162" s="7" t="s">
        <v>135</v>
      </c>
      <c r="B1162" s="7" t="s">
        <v>849</v>
      </c>
      <c r="C1162" s="231">
        <f>C1116</f>
        <v>0.09</v>
      </c>
      <c r="D1162" s="34"/>
      <c r="E1162" s="34">
        <f>F1153+F1152+F1151+F1124</f>
        <v>53319.3426124826</v>
      </c>
      <c r="F1162" s="34">
        <f>E1162*C1162</f>
        <v>4798.74083512344</v>
      </c>
    </row>
    <row r="1163" ht="15" customHeight="1" spans="1:6">
      <c r="A1163" s="7"/>
      <c r="B1163" s="7" t="s">
        <v>850</v>
      </c>
      <c r="C1163" s="231"/>
      <c r="D1163" s="34"/>
      <c r="E1163" s="34"/>
      <c r="F1163" s="34">
        <f>(F1124+F1151+F1152+F1153+F1162)*取费表!H7</f>
        <v>1743.54250342818</v>
      </c>
    </row>
    <row r="1164" ht="15" customHeight="1" spans="1:6">
      <c r="A1164" s="7"/>
      <c r="B1164" s="7" t="s">
        <v>156</v>
      </c>
      <c r="C1164" s="7"/>
      <c r="D1164" s="34"/>
      <c r="E1164" s="34"/>
      <c r="F1164" s="34">
        <f>F1162+E1162+F1163</f>
        <v>59861.6259510343</v>
      </c>
    </row>
    <row r="1165" ht="15" customHeight="1" spans="1:6">
      <c r="A1165" s="236" t="s">
        <v>828</v>
      </c>
      <c r="B1165" s="236"/>
      <c r="C1165" s="236"/>
      <c r="D1165" s="236"/>
      <c r="E1165" s="236"/>
      <c r="F1165" s="236"/>
    </row>
    <row r="1166" ht="15" customHeight="1" spans="1:6">
      <c r="A1166" s="278" t="s">
        <v>1023</v>
      </c>
      <c r="B1166" s="272"/>
      <c r="C1166" s="272"/>
      <c r="D1166" s="272"/>
      <c r="E1166" s="272"/>
      <c r="F1166" s="272"/>
    </row>
    <row r="1167" ht="15" customHeight="1" spans="1:6">
      <c r="A1167" s="227" t="s">
        <v>1019</v>
      </c>
      <c r="B1167" s="228"/>
      <c r="C1167" s="272"/>
      <c r="D1167" s="272"/>
      <c r="E1167" s="228" t="s">
        <v>832</v>
      </c>
      <c r="F1167" s="228"/>
    </row>
    <row r="1168" ht="15" customHeight="1" spans="1:6">
      <c r="A1168" s="232" t="s">
        <v>1020</v>
      </c>
      <c r="B1168" s="233"/>
      <c r="C1168" s="233"/>
      <c r="D1168" s="233"/>
      <c r="E1168" s="233"/>
      <c r="F1168" s="147"/>
    </row>
    <row r="1169" ht="15" customHeight="1" spans="1:6">
      <c r="A1169" s="7" t="s">
        <v>104</v>
      </c>
      <c r="B1169" s="7" t="s">
        <v>835</v>
      </c>
      <c r="C1169" s="7" t="s">
        <v>159</v>
      </c>
      <c r="D1169" s="7" t="s">
        <v>422</v>
      </c>
      <c r="E1169" s="7" t="s">
        <v>160</v>
      </c>
      <c r="F1169" s="7" t="s">
        <v>18</v>
      </c>
    </row>
    <row r="1170" ht="15" customHeight="1" spans="1:6">
      <c r="A1170" s="7" t="s">
        <v>836</v>
      </c>
      <c r="B1170" s="7" t="s">
        <v>837</v>
      </c>
      <c r="C1170" s="7"/>
      <c r="D1170" s="7"/>
      <c r="E1170" s="7"/>
      <c r="F1170" s="34">
        <f>F1171+F1195+F1196</f>
        <v>38337.1697736736</v>
      </c>
    </row>
    <row r="1171" ht="15" customHeight="1" spans="1:6">
      <c r="A1171" s="7" t="s">
        <v>539</v>
      </c>
      <c r="B1171" s="7" t="s">
        <v>838</v>
      </c>
      <c r="C1171" s="7"/>
      <c r="D1171" s="7"/>
      <c r="E1171" s="7"/>
      <c r="F1171" s="34">
        <f>F1172+F1175+F1185+F1192</f>
        <v>36581.2688680092</v>
      </c>
    </row>
    <row r="1172" ht="15" customHeight="1" spans="1:6">
      <c r="A1172" s="7">
        <v>1</v>
      </c>
      <c r="B1172" s="7" t="s">
        <v>839</v>
      </c>
      <c r="C1172" s="7" t="s">
        <v>840</v>
      </c>
      <c r="D1172" s="34"/>
      <c r="E1172" s="42">
        <f>SUM(E1173:E1174)</f>
        <v>1505.7</v>
      </c>
      <c r="F1172" s="69">
        <f>SUM(F1173:F1174)</f>
        <v>11341.06</v>
      </c>
    </row>
    <row r="1173" ht="15" customHeight="1" spans="1:6">
      <c r="A1173" s="7"/>
      <c r="B1173" s="7" t="s">
        <v>841</v>
      </c>
      <c r="C1173" s="7" t="s">
        <v>840</v>
      </c>
      <c r="D1173" s="69">
        <f>D1127</f>
        <v>8.1</v>
      </c>
      <c r="E1173" s="42">
        <v>1138.7</v>
      </c>
      <c r="F1173" s="69">
        <f>D1173*E1173</f>
        <v>9223.47</v>
      </c>
    </row>
    <row r="1174" ht="15" customHeight="1" spans="1:6">
      <c r="A1174" s="7"/>
      <c r="B1174" s="7" t="s">
        <v>842</v>
      </c>
      <c r="C1174" s="7" t="s">
        <v>840</v>
      </c>
      <c r="D1174" s="69">
        <f>D1128</f>
        <v>5.77</v>
      </c>
      <c r="E1174" s="42">
        <v>367</v>
      </c>
      <c r="F1174" s="69">
        <f>D1174*E1174</f>
        <v>2117.59</v>
      </c>
    </row>
    <row r="1175" ht="15" customHeight="1" spans="1:6">
      <c r="A1175" s="7">
        <v>2</v>
      </c>
      <c r="B1175" s="7" t="s">
        <v>912</v>
      </c>
      <c r="C1175" s="7"/>
      <c r="D1175" s="34"/>
      <c r="E1175" s="34"/>
      <c r="F1175" s="34">
        <f>SUM(F1176:F1184)</f>
        <v>22489.942851855</v>
      </c>
    </row>
    <row r="1176" ht="15" customHeight="1" spans="1:6">
      <c r="A1176" s="7"/>
      <c r="B1176" s="273" t="s">
        <v>996</v>
      </c>
      <c r="C1176" s="273" t="s">
        <v>169</v>
      </c>
      <c r="D1176" s="34">
        <f>D1130</f>
        <v>2238.008025</v>
      </c>
      <c r="E1176" s="34">
        <v>0.07</v>
      </c>
      <c r="F1176" s="34">
        <f t="shared" ref="F1176:F1183" si="60">D1176*E1176</f>
        <v>156.66056175</v>
      </c>
    </row>
    <row r="1177" ht="15" customHeight="1" spans="1:6">
      <c r="A1177" s="7"/>
      <c r="B1177" s="273" t="s">
        <v>997</v>
      </c>
      <c r="C1177" s="273" t="s">
        <v>863</v>
      </c>
      <c r="D1177" s="34">
        <f t="shared" ref="D1177:D1182" si="61">D1131</f>
        <v>4.44</v>
      </c>
      <c r="E1177" s="34">
        <v>203.58</v>
      </c>
      <c r="F1177" s="34">
        <f t="shared" si="60"/>
        <v>903.8952</v>
      </c>
    </row>
    <row r="1178" ht="15" customHeight="1" spans="1:6">
      <c r="A1178" s="7"/>
      <c r="B1178" s="273" t="s">
        <v>998</v>
      </c>
      <c r="C1178" s="273" t="s">
        <v>863</v>
      </c>
      <c r="D1178" s="34">
        <f t="shared" si="61"/>
        <v>4.5</v>
      </c>
      <c r="E1178" s="34">
        <v>89</v>
      </c>
      <c r="F1178" s="34">
        <f t="shared" si="60"/>
        <v>400.5</v>
      </c>
    </row>
    <row r="1179" ht="15" customHeight="1" spans="1:6">
      <c r="A1179" s="7"/>
      <c r="B1179" s="273" t="s">
        <v>999</v>
      </c>
      <c r="C1179" s="273" t="s">
        <v>863</v>
      </c>
      <c r="D1179" s="34">
        <f t="shared" si="61"/>
        <v>5.15</v>
      </c>
      <c r="E1179" s="34">
        <v>100.64</v>
      </c>
      <c r="F1179" s="34">
        <f t="shared" si="60"/>
        <v>518.296</v>
      </c>
    </row>
    <row r="1180" ht="15" customHeight="1" spans="1:6">
      <c r="A1180" s="7"/>
      <c r="B1180" s="273" t="s">
        <v>1001</v>
      </c>
      <c r="C1180" s="273" t="s">
        <v>863</v>
      </c>
      <c r="D1180" s="34">
        <f t="shared" si="61"/>
        <v>6.39</v>
      </c>
      <c r="E1180" s="34">
        <v>108</v>
      </c>
      <c r="F1180" s="34">
        <f t="shared" si="60"/>
        <v>690.12</v>
      </c>
    </row>
    <row r="1181" ht="15" customHeight="1" spans="1:6">
      <c r="A1181" s="7"/>
      <c r="B1181" s="273" t="s">
        <v>1002</v>
      </c>
      <c r="C1181" s="273" t="s">
        <v>863</v>
      </c>
      <c r="D1181" s="34">
        <f t="shared" si="61"/>
        <v>5.97</v>
      </c>
      <c r="E1181" s="34">
        <v>0.39</v>
      </c>
      <c r="F1181" s="34">
        <f t="shared" si="60"/>
        <v>2.3283</v>
      </c>
    </row>
    <row r="1182" ht="15" customHeight="1" spans="1:6">
      <c r="A1182" s="7"/>
      <c r="B1182" s="7" t="s">
        <v>1016</v>
      </c>
      <c r="C1182" s="7" t="s">
        <v>169</v>
      </c>
      <c r="D1182" s="34">
        <f t="shared" si="61"/>
        <v>183.2481895</v>
      </c>
      <c r="E1182" s="34">
        <v>103</v>
      </c>
      <c r="F1182" s="34">
        <f t="shared" si="60"/>
        <v>18874.5635185</v>
      </c>
    </row>
    <row r="1183" ht="15" customHeight="1" spans="1:6">
      <c r="A1183" s="7"/>
      <c r="B1183" s="7" t="s">
        <v>913</v>
      </c>
      <c r="C1183" s="7" t="s">
        <v>169</v>
      </c>
      <c r="D1183" s="34">
        <f t="shared" ref="D1183:D1190" si="62">D1137</f>
        <v>3.59</v>
      </c>
      <c r="E1183" s="34">
        <v>140</v>
      </c>
      <c r="F1183" s="34">
        <f t="shared" si="60"/>
        <v>502.6</v>
      </c>
    </row>
    <row r="1184" ht="15" customHeight="1" spans="1:6">
      <c r="A1184" s="7"/>
      <c r="B1184" s="7" t="s">
        <v>1004</v>
      </c>
      <c r="C1184" s="9" t="s">
        <v>845</v>
      </c>
      <c r="D1184" s="34">
        <f>F1176+F1177+F1178+F1179+F1180+F1181+F1182++F1183</f>
        <v>22048.96358025</v>
      </c>
      <c r="E1184" s="34">
        <v>2</v>
      </c>
      <c r="F1184" s="34">
        <f>D1184*E1184/100</f>
        <v>440.979271605</v>
      </c>
    </row>
    <row r="1185" ht="15" customHeight="1" spans="1:6">
      <c r="A1185" s="7">
        <v>3</v>
      </c>
      <c r="B1185" s="7" t="s">
        <v>859</v>
      </c>
      <c r="C1185" s="7"/>
      <c r="D1185" s="34"/>
      <c r="E1185" s="34"/>
      <c r="F1185" s="34">
        <f>SUM(F1186:F1191)</f>
        <v>758.609824766055</v>
      </c>
    </row>
    <row r="1186" ht="15" customHeight="1" spans="1:6">
      <c r="A1186" s="7"/>
      <c r="B1186" s="7" t="s">
        <v>1005</v>
      </c>
      <c r="C1186" s="7" t="s">
        <v>428</v>
      </c>
      <c r="D1186" s="34">
        <f t="shared" si="62"/>
        <v>49.389824491424</v>
      </c>
      <c r="E1186" s="34">
        <v>0.71</v>
      </c>
      <c r="F1186" s="34">
        <f>D1186*E1186</f>
        <v>35.066775388911</v>
      </c>
    </row>
    <row r="1187" ht="15" customHeight="1" spans="1:6">
      <c r="A1187" s="7"/>
      <c r="B1187" s="7" t="s">
        <v>1007</v>
      </c>
      <c r="C1187" s="7" t="s">
        <v>428</v>
      </c>
      <c r="D1187" s="34">
        <f t="shared" si="62"/>
        <v>8.3371858795373</v>
      </c>
      <c r="E1187" s="251">
        <v>0.58</v>
      </c>
      <c r="F1187" s="34">
        <f>D1187*E1187</f>
        <v>4.83556781013163</v>
      </c>
    </row>
    <row r="1188" ht="15" customHeight="1" spans="1:6">
      <c r="A1188" s="7"/>
      <c r="B1188" s="7" t="s">
        <v>1008</v>
      </c>
      <c r="C1188" s="7" t="s">
        <v>428</v>
      </c>
      <c r="D1188" s="34">
        <f t="shared" si="62"/>
        <v>23.9179521340247</v>
      </c>
      <c r="E1188" s="34">
        <v>18.54</v>
      </c>
      <c r="F1188" s="34">
        <f>D1188*E1188</f>
        <v>443.438832564818</v>
      </c>
    </row>
    <row r="1189" ht="15" customHeight="1" spans="1:6">
      <c r="A1189" s="7"/>
      <c r="B1189" s="7" t="s">
        <v>1021</v>
      </c>
      <c r="C1189" s="7" t="s">
        <v>428</v>
      </c>
      <c r="D1189" s="34">
        <f t="shared" si="62"/>
        <v>2.41252772237734</v>
      </c>
      <c r="E1189" s="34">
        <v>40.05</v>
      </c>
      <c r="F1189" s="34">
        <f>D1189*E1189</f>
        <v>96.6217352812126</v>
      </c>
    </row>
    <row r="1190" ht="15" customHeight="1" spans="1:6">
      <c r="A1190" s="7"/>
      <c r="B1190" s="7" t="s">
        <v>967</v>
      </c>
      <c r="C1190" s="7" t="s">
        <v>428</v>
      </c>
      <c r="D1190" s="34">
        <f t="shared" si="62"/>
        <v>0.813242919824491</v>
      </c>
      <c r="E1190" s="34">
        <v>98</v>
      </c>
      <c r="F1190" s="34">
        <f>D1190*E1190</f>
        <v>79.6978061428002</v>
      </c>
    </row>
    <row r="1191" ht="15" customHeight="1" spans="1:6">
      <c r="A1191" s="7"/>
      <c r="B1191" s="7" t="s">
        <v>918</v>
      </c>
      <c r="C1191" s="9" t="s">
        <v>845</v>
      </c>
      <c r="D1191" s="34">
        <f>SUM(F1186:F1190)</f>
        <v>659.660717187874</v>
      </c>
      <c r="E1191" s="247">
        <v>15</v>
      </c>
      <c r="F1191" s="34">
        <f>D1191*E1191/100</f>
        <v>98.9491075781811</v>
      </c>
    </row>
    <row r="1192" ht="15" customHeight="1" spans="1:6">
      <c r="A1192" s="5">
        <v>4</v>
      </c>
      <c r="B1192" s="5" t="s">
        <v>1010</v>
      </c>
      <c r="C1192" s="275"/>
      <c r="D1192" s="276"/>
      <c r="E1192" s="276"/>
      <c r="F1192" s="276">
        <f>SUM(F1193:F1194)</f>
        <v>1991.65619138815</v>
      </c>
    </row>
    <row r="1193" ht="15" customHeight="1" spans="1:6">
      <c r="A1193" s="7"/>
      <c r="B1193" s="123" t="s">
        <v>681</v>
      </c>
      <c r="C1193" s="123" t="s">
        <v>169</v>
      </c>
      <c r="D1193" s="274">
        <f>$F$2795/100</f>
        <v>5.03319379720782</v>
      </c>
      <c r="E1193" s="274">
        <v>103</v>
      </c>
      <c r="F1193" s="34">
        <f>D1193*E1193</f>
        <v>518.418961112405</v>
      </c>
    </row>
    <row r="1194" ht="15" customHeight="1" spans="1:6">
      <c r="A1194" s="7"/>
      <c r="B1194" s="123" t="s">
        <v>682</v>
      </c>
      <c r="C1194" s="123" t="s">
        <v>169</v>
      </c>
      <c r="D1194" s="274">
        <f>$F$2813/100</f>
        <v>14.303274080347</v>
      </c>
      <c r="E1194" s="274">
        <v>103</v>
      </c>
      <c r="F1194" s="34">
        <f>D1194*E1194</f>
        <v>1473.23723027574</v>
      </c>
    </row>
    <row r="1195" ht="15" customHeight="1" spans="1:6">
      <c r="A1195" s="7" t="s">
        <v>564</v>
      </c>
      <c r="B1195" s="7" t="s">
        <v>846</v>
      </c>
      <c r="C1195" s="230">
        <f>取费表!$C$7</f>
        <v>0.048</v>
      </c>
      <c r="D1195" s="274"/>
      <c r="E1195" s="274">
        <f>F1171</f>
        <v>36581.2688680092</v>
      </c>
      <c r="F1195" s="34">
        <f>E1195*C1195</f>
        <v>1755.90090566444</v>
      </c>
    </row>
    <row r="1196" ht="15" customHeight="1" spans="1:6">
      <c r="A1196" s="7"/>
      <c r="B1196" s="7"/>
      <c r="C1196" s="230"/>
      <c r="D1196" s="274"/>
      <c r="E1196" s="274"/>
      <c r="F1196" s="34"/>
    </row>
    <row r="1197" ht="15" customHeight="1" spans="1:6">
      <c r="A1197" s="7" t="s">
        <v>439</v>
      </c>
      <c r="B1197" s="7" t="s">
        <v>847</v>
      </c>
      <c r="C1197" s="230">
        <f>取费表!$E$7</f>
        <v>0.07</v>
      </c>
      <c r="D1197" s="274"/>
      <c r="E1197" s="274">
        <f>F1170</f>
        <v>38337.1697736736</v>
      </c>
      <c r="F1197" s="34">
        <f>E1197*C1197</f>
        <v>2683.60188415716</v>
      </c>
    </row>
    <row r="1198" ht="15" customHeight="1" spans="1:6">
      <c r="A1198" s="7" t="s">
        <v>83</v>
      </c>
      <c r="B1198" s="7" t="s">
        <v>848</v>
      </c>
      <c r="C1198" s="230">
        <f>取费表!$F$7</f>
        <v>0.07</v>
      </c>
      <c r="D1198" s="274"/>
      <c r="E1198" s="274">
        <f>F1197+F1170</f>
        <v>41020.7716578308</v>
      </c>
      <c r="F1198" s="34">
        <f>E1198*C1198</f>
        <v>2871.45401604816</v>
      </c>
    </row>
    <row r="1199" ht="15" customHeight="1" spans="1:6">
      <c r="A1199" s="5" t="s">
        <v>121</v>
      </c>
      <c r="B1199" s="5" t="s">
        <v>861</v>
      </c>
      <c r="C1199" s="275"/>
      <c r="D1199" s="276"/>
      <c r="E1199" s="5"/>
      <c r="F1199" s="277">
        <f>F1200+F1205</f>
        <v>13834.2431688951</v>
      </c>
    </row>
    <row r="1200" ht="15" customHeight="1" spans="1:6">
      <c r="A1200" s="7">
        <v>1</v>
      </c>
      <c r="B1200" s="7" t="s">
        <v>1011</v>
      </c>
      <c r="C1200" s="9"/>
      <c r="D1200" s="34"/>
      <c r="E1200" s="7"/>
      <c r="F1200" s="69">
        <f>SUM(F1201:F1204)</f>
        <v>13803.9545688951</v>
      </c>
    </row>
    <row r="1201" ht="15" customHeight="1" spans="1:6">
      <c r="A1201" s="7"/>
      <c r="B1201" s="7"/>
      <c r="C1201" s="7"/>
      <c r="D1201" s="34"/>
      <c r="E1201" s="34"/>
      <c r="F1201" s="69"/>
    </row>
    <row r="1202" ht="15" customHeight="1" spans="1:6">
      <c r="A1202" s="7"/>
      <c r="B1202" s="7" t="s">
        <v>983</v>
      </c>
      <c r="C1202" s="7" t="s">
        <v>200</v>
      </c>
      <c r="D1202" s="34">
        <f>材料预算价!K6-材料预算价!L6</f>
        <v>265.23946</v>
      </c>
      <c r="E1202" s="34">
        <f>E1182*配合比!E9</f>
        <v>35.641914</v>
      </c>
      <c r="F1202" s="69">
        <f>D1202*E1202</f>
        <v>9453.64202272644</v>
      </c>
    </row>
    <row r="1203" ht="15" customHeight="1" spans="1:6">
      <c r="A1203" s="7"/>
      <c r="B1203" s="7" t="s">
        <v>961</v>
      </c>
      <c r="C1203" s="7" t="s">
        <v>169</v>
      </c>
      <c r="D1203" s="34">
        <f>D1157</f>
        <v>34.366056</v>
      </c>
      <c r="E1203" s="34">
        <f>E1182*配合比!G9</f>
        <v>62.17904</v>
      </c>
      <c r="F1203" s="69">
        <f>D1203*E1203</f>
        <v>2136.84837066624</v>
      </c>
    </row>
    <row r="1204" ht="15" customHeight="1" spans="1:6">
      <c r="A1204" s="7"/>
      <c r="B1204" s="7" t="s">
        <v>1012</v>
      </c>
      <c r="C1204" s="7" t="s">
        <v>169</v>
      </c>
      <c r="D1204" s="34">
        <f>D1158</f>
        <v>29.13701</v>
      </c>
      <c r="E1204" s="34">
        <f>E1182*配合比!I9</f>
        <v>75.967444</v>
      </c>
      <c r="F1204" s="69">
        <f>D1204*E1204</f>
        <v>2213.46417550244</v>
      </c>
    </row>
    <row r="1205" ht="15" customHeight="1" spans="1:6">
      <c r="A1205" s="7">
        <v>2</v>
      </c>
      <c r="B1205" s="7" t="s">
        <v>1013</v>
      </c>
      <c r="C1205" s="7"/>
      <c r="D1205" s="34"/>
      <c r="E1205" s="38"/>
      <c r="F1205" s="69">
        <f>SUM(F1206:F1207)</f>
        <v>30.2886</v>
      </c>
    </row>
    <row r="1206" ht="15" customHeight="1" spans="1:6">
      <c r="A1206" s="7"/>
      <c r="B1206" s="7" t="s">
        <v>1014</v>
      </c>
      <c r="C1206" s="7" t="s">
        <v>863</v>
      </c>
      <c r="D1206" s="34">
        <f>D1160</f>
        <v>5.925</v>
      </c>
      <c r="E1206" s="38">
        <f>E1160</f>
        <v>5.112</v>
      </c>
      <c r="F1206" s="69">
        <f>D1206*E1206</f>
        <v>30.2886</v>
      </c>
    </row>
    <row r="1207" ht="15" customHeight="1" spans="1:6">
      <c r="A1207" s="7"/>
      <c r="B1207" s="7" t="s">
        <v>862</v>
      </c>
      <c r="C1207" s="7" t="s">
        <v>863</v>
      </c>
      <c r="D1207" s="34">
        <f>D1161</f>
        <v>4.58</v>
      </c>
      <c r="E1207" s="38"/>
      <c r="F1207" s="69">
        <f>D1207*E1207</f>
        <v>0</v>
      </c>
    </row>
    <row r="1208" ht="15" customHeight="1" spans="1:6">
      <c r="A1208" s="7" t="s">
        <v>135</v>
      </c>
      <c r="B1208" s="7" t="s">
        <v>849</v>
      </c>
      <c r="C1208" s="231">
        <f>C1162</f>
        <v>0.09</v>
      </c>
      <c r="D1208" s="34"/>
      <c r="E1208" s="34">
        <f>F1199+F1198+F1197+F1170</f>
        <v>57726.468842774</v>
      </c>
      <c r="F1208" s="34">
        <f>E1208*C1208</f>
        <v>5195.38219584966</v>
      </c>
    </row>
    <row r="1209" ht="15" customHeight="1" spans="1:6">
      <c r="A1209" s="7"/>
      <c r="B1209" s="7" t="s">
        <v>850</v>
      </c>
      <c r="C1209" s="231"/>
      <c r="D1209" s="34"/>
      <c r="E1209" s="34"/>
      <c r="F1209" s="34">
        <f>(F1170+F1197+F1198+F1199+F1208)*取费表!H7</f>
        <v>1887.65553115871</v>
      </c>
    </row>
    <row r="1210" ht="15" customHeight="1" spans="1:6">
      <c r="A1210" s="7"/>
      <c r="B1210" s="7" t="s">
        <v>156</v>
      </c>
      <c r="C1210" s="7"/>
      <c r="D1210" s="34"/>
      <c r="E1210" s="34"/>
      <c r="F1210" s="34">
        <f>F1208+E1208+F1209</f>
        <v>64809.5065697824</v>
      </c>
    </row>
    <row r="1211" ht="15" customHeight="1" spans="1:6">
      <c r="A1211" s="236" t="s">
        <v>828</v>
      </c>
      <c r="B1211" s="236"/>
      <c r="C1211" s="236"/>
      <c r="D1211" s="236"/>
      <c r="E1211" s="236"/>
      <c r="F1211" s="236"/>
    </row>
    <row r="1212" ht="15" customHeight="1" spans="1:6">
      <c r="A1212" s="278" t="s">
        <v>1024</v>
      </c>
      <c r="B1212" s="272"/>
      <c r="C1212" s="272"/>
      <c r="D1212" s="272"/>
      <c r="E1212" s="272"/>
      <c r="F1212" s="272"/>
    </row>
    <row r="1213" ht="15" customHeight="1" spans="1:6">
      <c r="A1213" s="227" t="s">
        <v>1019</v>
      </c>
      <c r="B1213" s="228"/>
      <c r="C1213" s="272"/>
      <c r="D1213" s="272"/>
      <c r="E1213" s="228" t="s">
        <v>832</v>
      </c>
      <c r="F1213" s="228"/>
    </row>
    <row r="1214" ht="15" customHeight="1" spans="1:6">
      <c r="A1214" s="232" t="s">
        <v>1020</v>
      </c>
      <c r="B1214" s="233"/>
      <c r="C1214" s="233"/>
      <c r="D1214" s="233"/>
      <c r="E1214" s="233"/>
      <c r="F1214" s="147"/>
    </row>
    <row r="1215" ht="15" customHeight="1" spans="1:6">
      <c r="A1215" s="7" t="s">
        <v>104</v>
      </c>
      <c r="B1215" s="7" t="s">
        <v>835</v>
      </c>
      <c r="C1215" s="7" t="s">
        <v>159</v>
      </c>
      <c r="D1215" s="7" t="s">
        <v>422</v>
      </c>
      <c r="E1215" s="7" t="s">
        <v>160</v>
      </c>
      <c r="F1215" s="7" t="s">
        <v>18</v>
      </c>
    </row>
    <row r="1216" ht="15" customHeight="1" spans="1:6">
      <c r="A1216" s="7" t="s">
        <v>836</v>
      </c>
      <c r="B1216" s="7" t="s">
        <v>837</v>
      </c>
      <c r="C1216" s="7"/>
      <c r="D1216" s="7"/>
      <c r="E1216" s="7"/>
      <c r="F1216" s="34">
        <f>F1217+F1241+F1242</f>
        <v>38864.9627928425</v>
      </c>
    </row>
    <row r="1217" ht="15" customHeight="1" spans="1:6">
      <c r="A1217" s="7" t="s">
        <v>539</v>
      </c>
      <c r="B1217" s="7" t="s">
        <v>838</v>
      </c>
      <c r="C1217" s="7"/>
      <c r="D1217" s="7"/>
      <c r="E1217" s="7"/>
      <c r="F1217" s="34">
        <f>F1218+F1221+F1231+F1238</f>
        <v>37084.8881611092</v>
      </c>
    </row>
    <row r="1218" ht="15" customHeight="1" spans="1:6">
      <c r="A1218" s="7">
        <v>1</v>
      </c>
      <c r="B1218" s="7" t="s">
        <v>839</v>
      </c>
      <c r="C1218" s="7" t="s">
        <v>840</v>
      </c>
      <c r="D1218" s="34"/>
      <c r="E1218" s="42">
        <f>SUM(E1219:E1220)</f>
        <v>1505.7</v>
      </c>
      <c r="F1218" s="69">
        <f>SUM(F1219:F1220)</f>
        <v>11341.06</v>
      </c>
    </row>
    <row r="1219" ht="15" customHeight="1" spans="1:6">
      <c r="A1219" s="7"/>
      <c r="B1219" s="7" t="s">
        <v>841</v>
      </c>
      <c r="C1219" s="7" t="s">
        <v>840</v>
      </c>
      <c r="D1219" s="69">
        <f>D1173</f>
        <v>8.1</v>
      </c>
      <c r="E1219" s="42">
        <v>1138.7</v>
      </c>
      <c r="F1219" s="69">
        <f>D1219*E1219</f>
        <v>9223.47</v>
      </c>
    </row>
    <row r="1220" ht="15" customHeight="1" spans="1:6">
      <c r="A1220" s="7"/>
      <c r="B1220" s="7" t="s">
        <v>842</v>
      </c>
      <c r="C1220" s="7" t="s">
        <v>840</v>
      </c>
      <c r="D1220" s="69">
        <f>D1174</f>
        <v>5.77</v>
      </c>
      <c r="E1220" s="42">
        <v>367</v>
      </c>
      <c r="F1220" s="69">
        <f>D1220*E1220</f>
        <v>2117.59</v>
      </c>
    </row>
    <row r="1221" ht="15" customHeight="1" spans="1:6">
      <c r="A1221" s="7">
        <v>2</v>
      </c>
      <c r="B1221" s="7" t="s">
        <v>912</v>
      </c>
      <c r="C1221" s="7"/>
      <c r="D1221" s="34"/>
      <c r="E1221" s="34"/>
      <c r="F1221" s="34">
        <f>SUM(F1222:F1230)</f>
        <v>22993.562144955</v>
      </c>
    </row>
    <row r="1222" ht="15" customHeight="1" spans="1:6">
      <c r="A1222" s="7"/>
      <c r="B1222" s="273" t="s">
        <v>996</v>
      </c>
      <c r="C1222" s="273" t="s">
        <v>169</v>
      </c>
      <c r="D1222" s="34">
        <f>D1176</f>
        <v>2238.008025</v>
      </c>
      <c r="E1222" s="34">
        <v>0.07</v>
      </c>
      <c r="F1222" s="34">
        <f t="shared" ref="F1222:F1229" si="63">D1222*E1222</f>
        <v>156.66056175</v>
      </c>
    </row>
    <row r="1223" ht="15" customHeight="1" spans="1:6">
      <c r="A1223" s="7"/>
      <c r="B1223" s="273" t="s">
        <v>997</v>
      </c>
      <c r="C1223" s="273" t="s">
        <v>863</v>
      </c>
      <c r="D1223" s="34">
        <f t="shared" ref="D1223:D1236" si="64">D1177</f>
        <v>4.44</v>
      </c>
      <c r="E1223" s="34">
        <v>203.58</v>
      </c>
      <c r="F1223" s="34">
        <f t="shared" si="63"/>
        <v>903.8952</v>
      </c>
    </row>
    <row r="1224" ht="15" customHeight="1" spans="1:6">
      <c r="A1224" s="7"/>
      <c r="B1224" s="273" t="s">
        <v>998</v>
      </c>
      <c r="C1224" s="273" t="s">
        <v>863</v>
      </c>
      <c r="D1224" s="34">
        <f t="shared" si="64"/>
        <v>4.5</v>
      </c>
      <c r="E1224" s="34">
        <v>89</v>
      </c>
      <c r="F1224" s="34">
        <f t="shared" si="63"/>
        <v>400.5</v>
      </c>
    </row>
    <row r="1225" ht="15" customHeight="1" spans="1:6">
      <c r="A1225" s="7"/>
      <c r="B1225" s="273" t="s">
        <v>999</v>
      </c>
      <c r="C1225" s="273" t="s">
        <v>863</v>
      </c>
      <c r="D1225" s="34">
        <f t="shared" si="64"/>
        <v>5.15</v>
      </c>
      <c r="E1225" s="34">
        <v>100.64</v>
      </c>
      <c r="F1225" s="34">
        <f t="shared" si="63"/>
        <v>518.296</v>
      </c>
    </row>
    <row r="1226" ht="15" customHeight="1" spans="1:6">
      <c r="A1226" s="7"/>
      <c r="B1226" s="273" t="s">
        <v>1001</v>
      </c>
      <c r="C1226" s="273" t="s">
        <v>863</v>
      </c>
      <c r="D1226" s="34">
        <f t="shared" si="64"/>
        <v>6.39</v>
      </c>
      <c r="E1226" s="34">
        <v>108</v>
      </c>
      <c r="F1226" s="34">
        <f t="shared" si="63"/>
        <v>690.12</v>
      </c>
    </row>
    <row r="1227" ht="15" customHeight="1" spans="1:6">
      <c r="A1227" s="7"/>
      <c r="B1227" s="273" t="s">
        <v>1002</v>
      </c>
      <c r="C1227" s="273" t="s">
        <v>863</v>
      </c>
      <c r="D1227" s="34">
        <f t="shared" si="64"/>
        <v>5.97</v>
      </c>
      <c r="E1227" s="34">
        <v>0.39</v>
      </c>
      <c r="F1227" s="34">
        <f t="shared" si="63"/>
        <v>2.3283</v>
      </c>
    </row>
    <row r="1228" ht="15" customHeight="1" spans="1:6">
      <c r="A1228" s="7"/>
      <c r="B1228" s="7" t="s">
        <v>1025</v>
      </c>
      <c r="C1228" s="7" t="s">
        <v>169</v>
      </c>
      <c r="D1228" s="34">
        <f>配合比!M11</f>
        <v>188.0418245</v>
      </c>
      <c r="E1228" s="34">
        <v>103</v>
      </c>
      <c r="F1228" s="34">
        <f t="shared" si="63"/>
        <v>19368.3079235</v>
      </c>
    </row>
    <row r="1229" ht="15" customHeight="1" spans="1:6">
      <c r="A1229" s="7"/>
      <c r="B1229" s="7" t="s">
        <v>913</v>
      </c>
      <c r="C1229" s="7" t="s">
        <v>169</v>
      </c>
      <c r="D1229" s="34">
        <f t="shared" si="64"/>
        <v>3.59</v>
      </c>
      <c r="E1229" s="34">
        <v>140</v>
      </c>
      <c r="F1229" s="34">
        <f t="shared" si="63"/>
        <v>502.6</v>
      </c>
    </row>
    <row r="1230" ht="15" customHeight="1" spans="1:6">
      <c r="A1230" s="7"/>
      <c r="B1230" s="7" t="s">
        <v>1004</v>
      </c>
      <c r="C1230" s="9" t="s">
        <v>845</v>
      </c>
      <c r="D1230" s="34">
        <f>F1222+F1223+F1224+F1225+F1226+F1227+F1228++F1229</f>
        <v>22542.70798525</v>
      </c>
      <c r="E1230" s="34">
        <v>2</v>
      </c>
      <c r="F1230" s="34">
        <f>D1230*E1230/100</f>
        <v>450.854159705</v>
      </c>
    </row>
    <row r="1231" ht="15" customHeight="1" spans="1:6">
      <c r="A1231" s="7">
        <v>3</v>
      </c>
      <c r="B1231" s="7" t="s">
        <v>859</v>
      </c>
      <c r="C1231" s="7"/>
      <c r="D1231" s="34"/>
      <c r="E1231" s="34"/>
      <c r="F1231" s="34">
        <f>SUM(F1232:F1237)</f>
        <v>758.609824766055</v>
      </c>
    </row>
    <row r="1232" ht="15" customHeight="1" spans="1:6">
      <c r="A1232" s="7"/>
      <c r="B1232" s="7" t="s">
        <v>1005</v>
      </c>
      <c r="C1232" s="7" t="s">
        <v>428</v>
      </c>
      <c r="D1232" s="34">
        <f t="shared" si="64"/>
        <v>49.389824491424</v>
      </c>
      <c r="E1232" s="34">
        <v>0.71</v>
      </c>
      <c r="F1232" s="34">
        <f>D1232*E1232</f>
        <v>35.066775388911</v>
      </c>
    </row>
    <row r="1233" ht="15" customHeight="1" spans="1:6">
      <c r="A1233" s="7"/>
      <c r="B1233" s="7" t="s">
        <v>1007</v>
      </c>
      <c r="C1233" s="7" t="s">
        <v>428</v>
      </c>
      <c r="D1233" s="34">
        <f t="shared" si="64"/>
        <v>8.3371858795373</v>
      </c>
      <c r="E1233" s="251">
        <v>0.58</v>
      </c>
      <c r="F1233" s="34">
        <f>D1233*E1233</f>
        <v>4.83556781013163</v>
      </c>
    </row>
    <row r="1234" ht="15" customHeight="1" spans="1:6">
      <c r="A1234" s="7"/>
      <c r="B1234" s="7" t="s">
        <v>1008</v>
      </c>
      <c r="C1234" s="7" t="s">
        <v>428</v>
      </c>
      <c r="D1234" s="34">
        <f t="shared" si="64"/>
        <v>23.9179521340247</v>
      </c>
      <c r="E1234" s="34">
        <v>18.54</v>
      </c>
      <c r="F1234" s="34">
        <f>D1234*E1234</f>
        <v>443.438832564818</v>
      </c>
    </row>
    <row r="1235" ht="15" customHeight="1" spans="1:6">
      <c r="A1235" s="7"/>
      <c r="B1235" s="7" t="s">
        <v>1021</v>
      </c>
      <c r="C1235" s="7" t="s">
        <v>428</v>
      </c>
      <c r="D1235" s="34">
        <f t="shared" si="64"/>
        <v>2.41252772237734</v>
      </c>
      <c r="E1235" s="34">
        <v>40.05</v>
      </c>
      <c r="F1235" s="34">
        <f>D1235*E1235</f>
        <v>96.6217352812126</v>
      </c>
    </row>
    <row r="1236" ht="15" customHeight="1" spans="1:6">
      <c r="A1236" s="7"/>
      <c r="B1236" s="7" t="s">
        <v>967</v>
      </c>
      <c r="C1236" s="7" t="s">
        <v>428</v>
      </c>
      <c r="D1236" s="34">
        <f t="shared" si="64"/>
        <v>0.813242919824491</v>
      </c>
      <c r="E1236" s="34">
        <v>98</v>
      </c>
      <c r="F1236" s="34">
        <f>D1236*E1236</f>
        <v>79.6978061428002</v>
      </c>
    </row>
    <row r="1237" ht="15" customHeight="1" spans="1:6">
      <c r="A1237" s="7"/>
      <c r="B1237" s="7" t="s">
        <v>918</v>
      </c>
      <c r="C1237" s="9" t="s">
        <v>845</v>
      </c>
      <c r="D1237" s="34">
        <f>SUM(F1232:F1236)</f>
        <v>659.660717187874</v>
      </c>
      <c r="E1237" s="247">
        <v>15</v>
      </c>
      <c r="F1237" s="34">
        <f>D1237*E1237/100</f>
        <v>98.9491075781811</v>
      </c>
    </row>
    <row r="1238" ht="15" customHeight="1" spans="1:6">
      <c r="A1238" s="5">
        <v>4</v>
      </c>
      <c r="B1238" s="5" t="s">
        <v>1010</v>
      </c>
      <c r="C1238" s="275"/>
      <c r="D1238" s="276"/>
      <c r="E1238" s="276"/>
      <c r="F1238" s="276">
        <f>SUM(F1239:F1240)</f>
        <v>1991.65619138815</v>
      </c>
    </row>
    <row r="1239" ht="15" customHeight="1" spans="1:6">
      <c r="A1239" s="7"/>
      <c r="B1239" s="123" t="s">
        <v>681</v>
      </c>
      <c r="C1239" s="123" t="s">
        <v>169</v>
      </c>
      <c r="D1239" s="274">
        <f>$F$2795/100</f>
        <v>5.03319379720782</v>
      </c>
      <c r="E1239" s="274">
        <v>103</v>
      </c>
      <c r="F1239" s="34">
        <f>D1239*E1239</f>
        <v>518.418961112405</v>
      </c>
    </row>
    <row r="1240" ht="15" customHeight="1" spans="1:6">
      <c r="A1240" s="7"/>
      <c r="B1240" s="123" t="s">
        <v>682</v>
      </c>
      <c r="C1240" s="123" t="s">
        <v>169</v>
      </c>
      <c r="D1240" s="274">
        <f>$F$2813/100</f>
        <v>14.303274080347</v>
      </c>
      <c r="E1240" s="274">
        <v>103</v>
      </c>
      <c r="F1240" s="34">
        <f>D1240*E1240</f>
        <v>1473.23723027574</v>
      </c>
    </row>
    <row r="1241" ht="15" customHeight="1" spans="1:6">
      <c r="A1241" s="7" t="s">
        <v>564</v>
      </c>
      <c r="B1241" s="7" t="s">
        <v>846</v>
      </c>
      <c r="C1241" s="230">
        <f>取费表!$C$7</f>
        <v>0.048</v>
      </c>
      <c r="D1241" s="274"/>
      <c r="E1241" s="274">
        <f>F1217</f>
        <v>37084.8881611092</v>
      </c>
      <c r="F1241" s="34">
        <f>E1241*C1241</f>
        <v>1780.07463173324</v>
      </c>
    </row>
    <row r="1242" ht="15" customHeight="1" spans="1:6">
      <c r="A1242" s="7"/>
      <c r="B1242" s="7"/>
      <c r="C1242" s="230"/>
      <c r="D1242" s="274"/>
      <c r="E1242" s="274"/>
      <c r="F1242" s="34"/>
    </row>
    <row r="1243" ht="15" customHeight="1" spans="1:6">
      <c r="A1243" s="7" t="s">
        <v>439</v>
      </c>
      <c r="B1243" s="7" t="s">
        <v>847</v>
      </c>
      <c r="C1243" s="230">
        <f>取费表!$E$7</f>
        <v>0.07</v>
      </c>
      <c r="D1243" s="274"/>
      <c r="E1243" s="274">
        <f>F1216</f>
        <v>38864.9627928425</v>
      </c>
      <c r="F1243" s="34">
        <f>E1243*C1243</f>
        <v>2720.54739549897</v>
      </c>
    </row>
    <row r="1244" ht="15" customHeight="1" spans="1:6">
      <c r="A1244" s="7" t="s">
        <v>83</v>
      </c>
      <c r="B1244" s="7" t="s">
        <v>848</v>
      </c>
      <c r="C1244" s="230">
        <f>取费表!$F$7</f>
        <v>0.07</v>
      </c>
      <c r="D1244" s="274"/>
      <c r="E1244" s="274">
        <f>F1243+F1216</f>
        <v>41585.5101883414</v>
      </c>
      <c r="F1244" s="34">
        <f>E1244*C1244</f>
        <v>2910.9857131839</v>
      </c>
    </row>
    <row r="1245" ht="15" customHeight="1" spans="1:6">
      <c r="A1245" s="5" t="s">
        <v>121</v>
      </c>
      <c r="B1245" s="5" t="s">
        <v>861</v>
      </c>
      <c r="C1245" s="275"/>
      <c r="D1245" s="276"/>
      <c r="E1245" s="5"/>
      <c r="F1245" s="277">
        <f>F1246+F1251</f>
        <v>9670.09071194332</v>
      </c>
    </row>
    <row r="1246" ht="15" customHeight="1" spans="1:6">
      <c r="A1246" s="7">
        <v>1</v>
      </c>
      <c r="B1246" s="7" t="s">
        <v>1011</v>
      </c>
      <c r="C1246" s="9"/>
      <c r="D1246" s="34"/>
      <c r="E1246" s="7"/>
      <c r="F1246" s="69">
        <f>SUM(F1247:F1250)</f>
        <v>9639.80211194332</v>
      </c>
    </row>
    <row r="1247" ht="15" customHeight="1" spans="1:6">
      <c r="A1247" s="7"/>
      <c r="B1247" s="7"/>
      <c r="C1247" s="7"/>
      <c r="D1247" s="34"/>
      <c r="E1247" s="34"/>
      <c r="F1247" s="69"/>
    </row>
    <row r="1248" ht="15" customHeight="1" spans="1:6">
      <c r="A1248" s="7"/>
      <c r="B1248" s="7" t="s">
        <v>979</v>
      </c>
      <c r="C1248" s="7" t="s">
        <v>200</v>
      </c>
      <c r="D1248" s="34">
        <f>材料预算价!K5-材料预算价!L5</f>
        <v>141.58936</v>
      </c>
      <c r="E1248" s="34">
        <f>E1228*配合比!E11</f>
        <v>37.58161</v>
      </c>
      <c r="F1248" s="69">
        <f>D1248*E1248</f>
        <v>5321.1561076696</v>
      </c>
    </row>
    <row r="1249" ht="15" customHeight="1" spans="1:6">
      <c r="A1249" s="7"/>
      <c r="B1249" s="7" t="s">
        <v>961</v>
      </c>
      <c r="C1249" s="7" t="s">
        <v>169</v>
      </c>
      <c r="D1249" s="34">
        <f>D1203</f>
        <v>34.366056</v>
      </c>
      <c r="E1249" s="34">
        <f>E1228*配合比!G11</f>
        <v>52.18598</v>
      </c>
      <c r="F1249" s="69">
        <f>D1249*E1249</f>
        <v>1793.42631109488</v>
      </c>
    </row>
    <row r="1250" ht="15" customHeight="1" spans="1:6">
      <c r="A1250" s="7"/>
      <c r="B1250" s="7" t="s">
        <v>1012</v>
      </c>
      <c r="C1250" s="7" t="s">
        <v>169</v>
      </c>
      <c r="D1250" s="34">
        <f>D1204</f>
        <v>29.13701</v>
      </c>
      <c r="E1250" s="34">
        <f>E1228*配合比!I11</f>
        <v>86.667084</v>
      </c>
      <c r="F1250" s="69">
        <f>D1250*E1250</f>
        <v>2525.21969317884</v>
      </c>
    </row>
    <row r="1251" ht="15" customHeight="1" spans="1:6">
      <c r="A1251" s="7">
        <v>2</v>
      </c>
      <c r="B1251" s="7" t="s">
        <v>1013</v>
      </c>
      <c r="C1251" s="7"/>
      <c r="D1251" s="34"/>
      <c r="E1251" s="38"/>
      <c r="F1251" s="69">
        <f>SUM(F1252:F1253)</f>
        <v>30.2886</v>
      </c>
    </row>
    <row r="1252" ht="15" customHeight="1" spans="1:6">
      <c r="A1252" s="7"/>
      <c r="B1252" s="7" t="s">
        <v>1014</v>
      </c>
      <c r="C1252" s="7" t="s">
        <v>863</v>
      </c>
      <c r="D1252" s="34">
        <f>D1206</f>
        <v>5.925</v>
      </c>
      <c r="E1252" s="38">
        <f>E1206</f>
        <v>5.112</v>
      </c>
      <c r="F1252" s="69">
        <f>D1252*E1252</f>
        <v>30.2886</v>
      </c>
    </row>
    <row r="1253" ht="15" customHeight="1" spans="1:6">
      <c r="A1253" s="7"/>
      <c r="B1253" s="7" t="s">
        <v>862</v>
      </c>
      <c r="C1253" s="7" t="s">
        <v>863</v>
      </c>
      <c r="D1253" s="34">
        <f>D1207</f>
        <v>4.58</v>
      </c>
      <c r="E1253" s="38"/>
      <c r="F1253" s="69">
        <f>D1253*E1253</f>
        <v>0</v>
      </c>
    </row>
    <row r="1254" ht="15" customHeight="1" spans="1:6">
      <c r="A1254" s="7" t="s">
        <v>135</v>
      </c>
      <c r="B1254" s="7" t="s">
        <v>849</v>
      </c>
      <c r="C1254" s="231">
        <f>C1208</f>
        <v>0.09</v>
      </c>
      <c r="D1254" s="34"/>
      <c r="E1254" s="34">
        <f>F1245+F1244+F1243+F1216</f>
        <v>54166.5866134687</v>
      </c>
      <c r="F1254" s="34">
        <f>E1254*C1254</f>
        <v>4874.99279521218</v>
      </c>
    </row>
    <row r="1255" ht="15" customHeight="1" spans="1:6">
      <c r="A1255" s="7"/>
      <c r="B1255" s="7" t="s">
        <v>850</v>
      </c>
      <c r="C1255" s="231"/>
      <c r="D1255" s="34"/>
      <c r="E1255" s="34"/>
      <c r="F1255" s="34">
        <f>(F1216+F1243+F1244+F1245+F1254)*取费表!H7</f>
        <v>1771.24738226043</v>
      </c>
    </row>
    <row r="1256" ht="15" customHeight="1" spans="1:6">
      <c r="A1256" s="7"/>
      <c r="B1256" s="7" t="s">
        <v>156</v>
      </c>
      <c r="C1256" s="7"/>
      <c r="D1256" s="34"/>
      <c r="E1256" s="34"/>
      <c r="F1256" s="34">
        <f>F1254+E1254+F1255</f>
        <v>60812.8267909413</v>
      </c>
    </row>
    <row r="1257" ht="15" customHeight="1" spans="1:6">
      <c r="A1257" s="236" t="s">
        <v>828</v>
      </c>
      <c r="B1257" s="236"/>
      <c r="C1257" s="236"/>
      <c r="D1257" s="236"/>
      <c r="E1257" s="236"/>
      <c r="F1257" s="236"/>
    </row>
    <row r="1258" ht="15" customHeight="1" spans="1:6">
      <c r="A1258" s="278" t="s">
        <v>1026</v>
      </c>
      <c r="B1258" s="272"/>
      <c r="C1258" s="272"/>
      <c r="D1258" s="272"/>
      <c r="E1258" s="272"/>
      <c r="F1258" s="272"/>
    </row>
    <row r="1259" ht="15" customHeight="1" spans="1:6">
      <c r="A1259" s="227" t="s">
        <v>1019</v>
      </c>
      <c r="B1259" s="228"/>
      <c r="C1259" s="272"/>
      <c r="D1259" s="272"/>
      <c r="E1259" s="228" t="s">
        <v>832</v>
      </c>
      <c r="F1259" s="228"/>
    </row>
    <row r="1260" ht="15" customHeight="1" spans="1:6">
      <c r="A1260" s="232" t="s">
        <v>1020</v>
      </c>
      <c r="B1260" s="233"/>
      <c r="C1260" s="233"/>
      <c r="D1260" s="233"/>
      <c r="E1260" s="233"/>
      <c r="F1260" s="147"/>
    </row>
    <row r="1261" ht="15" customHeight="1" spans="1:6">
      <c r="A1261" s="7" t="s">
        <v>104</v>
      </c>
      <c r="B1261" s="7" t="s">
        <v>835</v>
      </c>
      <c r="C1261" s="7" t="s">
        <v>159</v>
      </c>
      <c r="D1261" s="7" t="s">
        <v>422</v>
      </c>
      <c r="E1261" s="7" t="s">
        <v>160</v>
      </c>
      <c r="F1261" s="7" t="s">
        <v>18</v>
      </c>
    </row>
    <row r="1262" ht="15" customHeight="1" spans="1:6">
      <c r="A1262" s="7" t="s">
        <v>836</v>
      </c>
      <c r="B1262" s="7" t="s">
        <v>837</v>
      </c>
      <c r="C1262" s="7"/>
      <c r="D1262" s="7"/>
      <c r="E1262" s="7"/>
      <c r="F1262" s="34">
        <f>F1263+F1287+F1288</f>
        <v>38864.9627928425</v>
      </c>
    </row>
    <row r="1263" ht="15" customHeight="1" spans="1:6">
      <c r="A1263" s="7" t="s">
        <v>539</v>
      </c>
      <c r="B1263" s="7" t="s">
        <v>838</v>
      </c>
      <c r="C1263" s="7"/>
      <c r="D1263" s="7"/>
      <c r="E1263" s="7"/>
      <c r="F1263" s="34">
        <f>F1264+F1267+F1277+F1284</f>
        <v>37084.8881611092</v>
      </c>
    </row>
    <row r="1264" ht="15" customHeight="1" spans="1:6">
      <c r="A1264" s="7">
        <v>1</v>
      </c>
      <c r="B1264" s="7" t="s">
        <v>839</v>
      </c>
      <c r="C1264" s="7" t="s">
        <v>840</v>
      </c>
      <c r="D1264" s="34"/>
      <c r="E1264" s="42">
        <f>SUM(E1265:E1266)</f>
        <v>1505.7</v>
      </c>
      <c r="F1264" s="69">
        <f>SUM(F1265:F1266)</f>
        <v>11341.06</v>
      </c>
    </row>
    <row r="1265" ht="15" customHeight="1" spans="1:6">
      <c r="A1265" s="7"/>
      <c r="B1265" s="7" t="s">
        <v>841</v>
      </c>
      <c r="C1265" s="7" t="s">
        <v>840</v>
      </c>
      <c r="D1265" s="69">
        <f>D1127</f>
        <v>8.1</v>
      </c>
      <c r="E1265" s="42">
        <v>1138.7</v>
      </c>
      <c r="F1265" s="69">
        <f>D1265*E1265</f>
        <v>9223.47</v>
      </c>
    </row>
    <row r="1266" ht="15" customHeight="1" spans="1:6">
      <c r="A1266" s="7"/>
      <c r="B1266" s="7" t="s">
        <v>842</v>
      </c>
      <c r="C1266" s="7" t="s">
        <v>840</v>
      </c>
      <c r="D1266" s="69">
        <f>D1128</f>
        <v>5.77</v>
      </c>
      <c r="E1266" s="42">
        <v>367</v>
      </c>
      <c r="F1266" s="69">
        <f>D1266*E1266</f>
        <v>2117.59</v>
      </c>
    </row>
    <row r="1267" ht="15" customHeight="1" spans="1:6">
      <c r="A1267" s="7">
        <v>2</v>
      </c>
      <c r="B1267" s="7" t="s">
        <v>912</v>
      </c>
      <c r="C1267" s="7"/>
      <c r="D1267" s="34"/>
      <c r="E1267" s="34"/>
      <c r="F1267" s="34">
        <f>SUM(F1268:F1276)</f>
        <v>22993.562144955</v>
      </c>
    </row>
    <row r="1268" ht="15" customHeight="1" spans="1:6">
      <c r="A1268" s="7"/>
      <c r="B1268" s="273" t="s">
        <v>996</v>
      </c>
      <c r="C1268" s="273" t="s">
        <v>169</v>
      </c>
      <c r="D1268" s="34">
        <f t="shared" ref="D1268:D1273" si="65">D1130</f>
        <v>2238.008025</v>
      </c>
      <c r="E1268" s="34">
        <v>0.07</v>
      </c>
      <c r="F1268" s="34">
        <f t="shared" ref="F1268:F1275" si="66">D1268*E1268</f>
        <v>156.66056175</v>
      </c>
    </row>
    <row r="1269" ht="15" customHeight="1" spans="1:6">
      <c r="A1269" s="7"/>
      <c r="B1269" s="273" t="s">
        <v>997</v>
      </c>
      <c r="C1269" s="273" t="s">
        <v>863</v>
      </c>
      <c r="D1269" s="34">
        <f t="shared" si="65"/>
        <v>4.44</v>
      </c>
      <c r="E1269" s="34">
        <v>203.58</v>
      </c>
      <c r="F1269" s="34">
        <f t="shared" si="66"/>
        <v>903.8952</v>
      </c>
    </row>
    <row r="1270" ht="15" customHeight="1" spans="1:6">
      <c r="A1270" s="7"/>
      <c r="B1270" s="273" t="s">
        <v>998</v>
      </c>
      <c r="C1270" s="273" t="s">
        <v>863</v>
      </c>
      <c r="D1270" s="34">
        <f t="shared" si="65"/>
        <v>4.5</v>
      </c>
      <c r="E1270" s="34">
        <v>89</v>
      </c>
      <c r="F1270" s="34">
        <f t="shared" si="66"/>
        <v>400.5</v>
      </c>
    </row>
    <row r="1271" ht="15" customHeight="1" spans="1:6">
      <c r="A1271" s="7"/>
      <c r="B1271" s="273" t="s">
        <v>999</v>
      </c>
      <c r="C1271" s="273" t="s">
        <v>863</v>
      </c>
      <c r="D1271" s="34">
        <f t="shared" si="65"/>
        <v>5.15</v>
      </c>
      <c r="E1271" s="34">
        <v>100.64</v>
      </c>
      <c r="F1271" s="34">
        <f t="shared" si="66"/>
        <v>518.296</v>
      </c>
    </row>
    <row r="1272" ht="15" customHeight="1" spans="1:6">
      <c r="A1272" s="7"/>
      <c r="B1272" s="273" t="s">
        <v>1001</v>
      </c>
      <c r="C1272" s="273" t="s">
        <v>863</v>
      </c>
      <c r="D1272" s="34">
        <f t="shared" si="65"/>
        <v>6.39</v>
      </c>
      <c r="E1272" s="34">
        <v>108</v>
      </c>
      <c r="F1272" s="34">
        <f t="shared" si="66"/>
        <v>690.12</v>
      </c>
    </row>
    <row r="1273" ht="15" customHeight="1" spans="1:6">
      <c r="A1273" s="7"/>
      <c r="B1273" s="273" t="s">
        <v>1002</v>
      </c>
      <c r="C1273" s="273" t="s">
        <v>863</v>
      </c>
      <c r="D1273" s="34">
        <f t="shared" si="65"/>
        <v>5.97</v>
      </c>
      <c r="E1273" s="34">
        <v>0.39</v>
      </c>
      <c r="F1273" s="34">
        <f t="shared" si="66"/>
        <v>2.3283</v>
      </c>
    </row>
    <row r="1274" ht="15" customHeight="1" spans="1:6">
      <c r="A1274" s="7"/>
      <c r="B1274" s="7" t="s">
        <v>1025</v>
      </c>
      <c r="C1274" s="7" t="s">
        <v>169</v>
      </c>
      <c r="D1274" s="34">
        <f>配合比!M11</f>
        <v>188.0418245</v>
      </c>
      <c r="E1274" s="34">
        <v>103</v>
      </c>
      <c r="F1274" s="34">
        <f t="shared" si="66"/>
        <v>19368.3079235</v>
      </c>
    </row>
    <row r="1275" ht="15" customHeight="1" spans="1:6">
      <c r="A1275" s="7"/>
      <c r="B1275" s="7" t="s">
        <v>913</v>
      </c>
      <c r="C1275" s="7" t="s">
        <v>169</v>
      </c>
      <c r="D1275" s="34">
        <f>D1137</f>
        <v>3.59</v>
      </c>
      <c r="E1275" s="34">
        <v>140</v>
      </c>
      <c r="F1275" s="34">
        <f t="shared" si="66"/>
        <v>502.6</v>
      </c>
    </row>
    <row r="1276" ht="15" customHeight="1" spans="1:6">
      <c r="A1276" s="7"/>
      <c r="B1276" s="7" t="s">
        <v>1004</v>
      </c>
      <c r="C1276" s="9" t="s">
        <v>845</v>
      </c>
      <c r="D1276" s="34">
        <f>F1268+F1269+F1270+F1271+F1272+F1273+F1274++F1275</f>
        <v>22542.70798525</v>
      </c>
      <c r="E1276" s="34">
        <v>2</v>
      </c>
      <c r="F1276" s="34">
        <f>D1276*E1276/100</f>
        <v>450.854159705</v>
      </c>
    </row>
    <row r="1277" ht="15" customHeight="1" spans="1:6">
      <c r="A1277" s="7">
        <v>3</v>
      </c>
      <c r="B1277" s="7" t="s">
        <v>859</v>
      </c>
      <c r="C1277" s="7"/>
      <c r="D1277" s="34"/>
      <c r="E1277" s="34"/>
      <c r="F1277" s="34">
        <f>SUM(F1278:F1283)</f>
        <v>758.609824766055</v>
      </c>
    </row>
    <row r="1278" ht="15" customHeight="1" spans="1:6">
      <c r="A1278" s="7"/>
      <c r="B1278" s="7" t="s">
        <v>1005</v>
      </c>
      <c r="C1278" s="7" t="s">
        <v>428</v>
      </c>
      <c r="D1278" s="34">
        <f>D1140</f>
        <v>49.389824491424</v>
      </c>
      <c r="E1278" s="34">
        <v>0.71</v>
      </c>
      <c r="F1278" s="34">
        <f>D1278*E1278</f>
        <v>35.066775388911</v>
      </c>
    </row>
    <row r="1279" ht="15" customHeight="1" spans="1:6">
      <c r="A1279" s="7"/>
      <c r="B1279" s="7" t="s">
        <v>1007</v>
      </c>
      <c r="C1279" s="7" t="s">
        <v>428</v>
      </c>
      <c r="D1279" s="34">
        <f>D1141</f>
        <v>8.3371858795373</v>
      </c>
      <c r="E1279" s="251">
        <v>0.58</v>
      </c>
      <c r="F1279" s="34">
        <f>D1279*E1279</f>
        <v>4.83556781013163</v>
      </c>
    </row>
    <row r="1280" ht="15" customHeight="1" spans="1:6">
      <c r="A1280" s="7"/>
      <c r="B1280" s="7" t="s">
        <v>1008</v>
      </c>
      <c r="C1280" s="7" t="s">
        <v>428</v>
      </c>
      <c r="D1280" s="34">
        <f>D1142</f>
        <v>23.9179521340247</v>
      </c>
      <c r="E1280" s="34">
        <v>18.54</v>
      </c>
      <c r="F1280" s="34">
        <f>D1280*E1280</f>
        <v>443.438832564818</v>
      </c>
    </row>
    <row r="1281" ht="15" customHeight="1" spans="1:6">
      <c r="A1281" s="7"/>
      <c r="B1281" s="7" t="s">
        <v>1021</v>
      </c>
      <c r="C1281" s="7" t="s">
        <v>428</v>
      </c>
      <c r="D1281" s="34">
        <f>D1143</f>
        <v>2.41252772237734</v>
      </c>
      <c r="E1281" s="34">
        <v>40.05</v>
      </c>
      <c r="F1281" s="34">
        <f>D1281*E1281</f>
        <v>96.6217352812126</v>
      </c>
    </row>
    <row r="1282" ht="15" customHeight="1" spans="1:6">
      <c r="A1282" s="7"/>
      <c r="B1282" s="7" t="s">
        <v>967</v>
      </c>
      <c r="C1282" s="7" t="s">
        <v>428</v>
      </c>
      <c r="D1282" s="34">
        <f>D1144</f>
        <v>0.813242919824491</v>
      </c>
      <c r="E1282" s="34">
        <v>98</v>
      </c>
      <c r="F1282" s="34">
        <f>D1282*E1282</f>
        <v>79.6978061428002</v>
      </c>
    </row>
    <row r="1283" ht="15" customHeight="1" spans="1:6">
      <c r="A1283" s="7"/>
      <c r="B1283" s="7" t="s">
        <v>918</v>
      </c>
      <c r="C1283" s="9" t="s">
        <v>845</v>
      </c>
      <c r="D1283" s="34">
        <f>SUM(F1278:F1282)</f>
        <v>659.660717187874</v>
      </c>
      <c r="E1283" s="247">
        <v>15</v>
      </c>
      <c r="F1283" s="34">
        <f>D1283*E1283/100</f>
        <v>98.9491075781811</v>
      </c>
    </row>
    <row r="1284" ht="15" customHeight="1" spans="1:6">
      <c r="A1284" s="5">
        <v>4</v>
      </c>
      <c r="B1284" s="5" t="s">
        <v>1010</v>
      </c>
      <c r="C1284" s="275"/>
      <c r="D1284" s="276"/>
      <c r="E1284" s="276"/>
      <c r="F1284" s="276">
        <f>SUM(F1285:F1286)</f>
        <v>1991.65619138815</v>
      </c>
    </row>
    <row r="1285" ht="15" customHeight="1" spans="1:6">
      <c r="A1285" s="7"/>
      <c r="B1285" s="123" t="s">
        <v>681</v>
      </c>
      <c r="C1285" s="123" t="s">
        <v>169</v>
      </c>
      <c r="D1285" s="274">
        <f>$F$2795/100</f>
        <v>5.03319379720782</v>
      </c>
      <c r="E1285" s="274">
        <v>103</v>
      </c>
      <c r="F1285" s="34">
        <f>D1285*E1285</f>
        <v>518.418961112405</v>
      </c>
    </row>
    <row r="1286" ht="15" customHeight="1" spans="1:6">
      <c r="A1286" s="7"/>
      <c r="B1286" s="123" t="s">
        <v>682</v>
      </c>
      <c r="C1286" s="123" t="s">
        <v>169</v>
      </c>
      <c r="D1286" s="274">
        <f>$F$2813/100</f>
        <v>14.303274080347</v>
      </c>
      <c r="E1286" s="274">
        <v>103</v>
      </c>
      <c r="F1286" s="34">
        <f>D1286*E1286</f>
        <v>1473.23723027574</v>
      </c>
    </row>
    <row r="1287" ht="15" customHeight="1" spans="1:6">
      <c r="A1287" s="7" t="s">
        <v>564</v>
      </c>
      <c r="B1287" s="7" t="s">
        <v>846</v>
      </c>
      <c r="C1287" s="230">
        <f>取费表!$C$7</f>
        <v>0.048</v>
      </c>
      <c r="D1287" s="274"/>
      <c r="E1287" s="274">
        <f>F1263</f>
        <v>37084.8881611092</v>
      </c>
      <c r="F1287" s="34">
        <f>E1287*C1287</f>
        <v>1780.07463173324</v>
      </c>
    </row>
    <row r="1288" ht="15" customHeight="1" spans="1:6">
      <c r="A1288" s="7"/>
      <c r="B1288" s="7"/>
      <c r="C1288" s="230"/>
      <c r="D1288" s="274"/>
      <c r="E1288" s="274"/>
      <c r="F1288" s="34"/>
    </row>
    <row r="1289" ht="15" customHeight="1" spans="1:6">
      <c r="A1289" s="7" t="s">
        <v>439</v>
      </c>
      <c r="B1289" s="7" t="s">
        <v>847</v>
      </c>
      <c r="C1289" s="230">
        <f>取费表!$E$7</f>
        <v>0.07</v>
      </c>
      <c r="D1289" s="274"/>
      <c r="E1289" s="274">
        <f>F1262</f>
        <v>38864.9627928425</v>
      </c>
      <c r="F1289" s="34">
        <f>E1289*C1289</f>
        <v>2720.54739549897</v>
      </c>
    </row>
    <row r="1290" ht="15" customHeight="1" spans="1:6">
      <c r="A1290" s="7" t="s">
        <v>83</v>
      </c>
      <c r="B1290" s="7" t="s">
        <v>848</v>
      </c>
      <c r="C1290" s="230">
        <f>取费表!$F$7</f>
        <v>0.07</v>
      </c>
      <c r="D1290" s="274"/>
      <c r="E1290" s="274">
        <f>F1289+F1262</f>
        <v>41585.5101883414</v>
      </c>
      <c r="F1290" s="34">
        <f>E1290*C1290</f>
        <v>2910.9857131839</v>
      </c>
    </row>
    <row r="1291" ht="15" customHeight="1" spans="1:6">
      <c r="A1291" s="5" t="s">
        <v>121</v>
      </c>
      <c r="B1291" s="5" t="s">
        <v>861</v>
      </c>
      <c r="C1291" s="275"/>
      <c r="D1291" s="276"/>
      <c r="E1291" s="5"/>
      <c r="F1291" s="277">
        <f>F1292+F1297</f>
        <v>14317.0605466043</v>
      </c>
    </row>
    <row r="1292" ht="15" customHeight="1" spans="1:6">
      <c r="A1292" s="7">
        <v>1</v>
      </c>
      <c r="B1292" s="7" t="s">
        <v>1011</v>
      </c>
      <c r="C1292" s="9"/>
      <c r="D1292" s="34"/>
      <c r="E1292" s="7"/>
      <c r="F1292" s="69">
        <f>SUM(F1293:F1296)</f>
        <v>14286.7719466043</v>
      </c>
    </row>
    <row r="1293" ht="15" customHeight="1" spans="1:6">
      <c r="A1293" s="7"/>
      <c r="B1293" s="7"/>
      <c r="C1293" s="7"/>
      <c r="D1293" s="34"/>
      <c r="E1293" s="34"/>
      <c r="F1293" s="69"/>
    </row>
    <row r="1294" ht="15" customHeight="1" spans="1:6">
      <c r="A1294" s="7"/>
      <c r="B1294" s="7" t="s">
        <v>983</v>
      </c>
      <c r="C1294" s="7" t="s">
        <v>200</v>
      </c>
      <c r="D1294" s="34">
        <f>材料预算价!K6-材料预算价!L6</f>
        <v>265.23946</v>
      </c>
      <c r="E1294" s="34">
        <f>E1274*配合比!E11</f>
        <v>37.58161</v>
      </c>
      <c r="F1294" s="69">
        <f>D1294*E1294</f>
        <v>9968.1259423306</v>
      </c>
    </row>
    <row r="1295" ht="15" customHeight="1" spans="1:6">
      <c r="A1295" s="7"/>
      <c r="B1295" s="7" t="s">
        <v>961</v>
      </c>
      <c r="C1295" s="7" t="s">
        <v>169</v>
      </c>
      <c r="D1295" s="34">
        <f>D1157</f>
        <v>34.366056</v>
      </c>
      <c r="E1295" s="34">
        <f>E1274*配合比!G11</f>
        <v>52.18598</v>
      </c>
      <c r="F1295" s="69">
        <f>D1295*E1295</f>
        <v>1793.42631109488</v>
      </c>
    </row>
    <row r="1296" ht="15" customHeight="1" spans="1:6">
      <c r="A1296" s="7"/>
      <c r="B1296" s="7" t="s">
        <v>1012</v>
      </c>
      <c r="C1296" s="7" t="s">
        <v>169</v>
      </c>
      <c r="D1296" s="34">
        <f>D1158</f>
        <v>29.13701</v>
      </c>
      <c r="E1296" s="34">
        <f>E1274*配合比!I11</f>
        <v>86.667084</v>
      </c>
      <c r="F1296" s="69">
        <f>D1296*E1296</f>
        <v>2525.21969317884</v>
      </c>
    </row>
    <row r="1297" ht="15" customHeight="1" spans="1:6">
      <c r="A1297" s="7">
        <v>2</v>
      </c>
      <c r="B1297" s="7" t="s">
        <v>1013</v>
      </c>
      <c r="C1297" s="7"/>
      <c r="D1297" s="34"/>
      <c r="E1297" s="38"/>
      <c r="F1297" s="69">
        <f>SUM(F1298:F1299)</f>
        <v>30.2886</v>
      </c>
    </row>
    <row r="1298" ht="15" customHeight="1" spans="1:6">
      <c r="A1298" s="7"/>
      <c r="B1298" s="7" t="s">
        <v>1014</v>
      </c>
      <c r="C1298" s="7" t="s">
        <v>863</v>
      </c>
      <c r="D1298" s="34">
        <f>D1160</f>
        <v>5.925</v>
      </c>
      <c r="E1298" s="38">
        <f>E1160</f>
        <v>5.112</v>
      </c>
      <c r="F1298" s="69">
        <f>D1298*E1298</f>
        <v>30.2886</v>
      </c>
    </row>
    <row r="1299" ht="15" customHeight="1" spans="1:6">
      <c r="A1299" s="7"/>
      <c r="B1299" s="7" t="s">
        <v>862</v>
      </c>
      <c r="C1299" s="7" t="s">
        <v>863</v>
      </c>
      <c r="D1299" s="34">
        <f>D1161</f>
        <v>4.58</v>
      </c>
      <c r="E1299" s="38"/>
      <c r="F1299" s="69">
        <f>D1299*E1299</f>
        <v>0</v>
      </c>
    </row>
    <row r="1300" ht="15" customHeight="1" spans="1:6">
      <c r="A1300" s="7" t="s">
        <v>135</v>
      </c>
      <c r="B1300" s="7" t="s">
        <v>849</v>
      </c>
      <c r="C1300" s="231">
        <f>C1162</f>
        <v>0.09</v>
      </c>
      <c r="D1300" s="34"/>
      <c r="E1300" s="34">
        <f>F1291+F1290+F1289+F1262</f>
        <v>58813.5564481297</v>
      </c>
      <c r="F1300" s="34">
        <f>E1300*C1300</f>
        <v>5293.22008033167</v>
      </c>
    </row>
    <row r="1301" ht="15" customHeight="1" spans="1:6">
      <c r="A1301" s="7"/>
      <c r="B1301" s="7" t="s">
        <v>850</v>
      </c>
      <c r="C1301" s="231"/>
      <c r="D1301" s="34"/>
      <c r="E1301" s="34"/>
      <c r="F1301" s="34">
        <f>(F1262+F1289+F1290+F1291+F1300)*取费表!H7</f>
        <v>1923.20329585384</v>
      </c>
    </row>
    <row r="1302" ht="15" customHeight="1" spans="1:6">
      <c r="A1302" s="7"/>
      <c r="B1302" s="7" t="s">
        <v>156</v>
      </c>
      <c r="C1302" s="7"/>
      <c r="D1302" s="34"/>
      <c r="E1302" s="34"/>
      <c r="F1302" s="34">
        <f>F1300+E1300+F1301</f>
        <v>66029.9798243152</v>
      </c>
    </row>
    <row r="1303" ht="18.75" customHeight="1" spans="1:18">
      <c r="A1303" s="236" t="s">
        <v>828</v>
      </c>
      <c r="B1303" s="236"/>
      <c r="C1303" s="236"/>
      <c r="D1303" s="236"/>
      <c r="E1303" s="236"/>
      <c r="F1303" s="236"/>
      <c r="G1303" s="236" t="s">
        <v>828</v>
      </c>
      <c r="H1303" s="236"/>
      <c r="I1303" s="236"/>
      <c r="J1303" s="236"/>
      <c r="K1303" s="236"/>
      <c r="L1303" s="236"/>
      <c r="M1303" s="236" t="s">
        <v>828</v>
      </c>
      <c r="N1303" s="236"/>
      <c r="O1303" s="236"/>
      <c r="P1303" s="236"/>
      <c r="Q1303" s="236"/>
      <c r="R1303" s="236"/>
    </row>
    <row r="1304" ht="14.45" customHeight="1" spans="1:18">
      <c r="A1304" s="278" t="s">
        <v>1027</v>
      </c>
      <c r="B1304" s="272"/>
      <c r="C1304" s="272"/>
      <c r="D1304" s="272"/>
      <c r="E1304" s="272"/>
      <c r="F1304" s="272"/>
      <c r="G1304" s="278" t="s">
        <v>1028</v>
      </c>
      <c r="H1304" s="272"/>
      <c r="I1304" s="272"/>
      <c r="J1304" s="272"/>
      <c r="K1304" s="272"/>
      <c r="L1304" s="272"/>
      <c r="M1304" s="278" t="s">
        <v>1029</v>
      </c>
      <c r="N1304" s="272"/>
      <c r="O1304" s="272"/>
      <c r="P1304" s="272"/>
      <c r="Q1304" s="272"/>
      <c r="R1304" s="272"/>
    </row>
    <row r="1305" ht="14.45" customHeight="1" spans="1:18">
      <c r="A1305" s="228" t="s">
        <v>1030</v>
      </c>
      <c r="B1305" s="228"/>
      <c r="C1305" s="229"/>
      <c r="D1305" s="229"/>
      <c r="E1305" s="228" t="s">
        <v>832</v>
      </c>
      <c r="F1305" s="228"/>
      <c r="G1305" s="228" t="s">
        <v>1030</v>
      </c>
      <c r="H1305" s="228"/>
      <c r="I1305" s="229"/>
      <c r="J1305" s="229"/>
      <c r="K1305" s="228" t="s">
        <v>832</v>
      </c>
      <c r="L1305" s="228"/>
      <c r="M1305" s="228" t="s">
        <v>1030</v>
      </c>
      <c r="N1305" s="228"/>
      <c r="O1305" s="229"/>
      <c r="P1305" s="229"/>
      <c r="Q1305" s="228" t="s">
        <v>832</v>
      </c>
      <c r="R1305" s="228"/>
    </row>
    <row r="1306" ht="14.45" customHeight="1" spans="1:18">
      <c r="A1306" s="146" t="s">
        <v>911</v>
      </c>
      <c r="B1306" s="233"/>
      <c r="C1306" s="233"/>
      <c r="D1306" s="233"/>
      <c r="E1306" s="233"/>
      <c r="F1306" s="147"/>
      <c r="G1306" s="146" t="s">
        <v>911</v>
      </c>
      <c r="H1306" s="233"/>
      <c r="I1306" s="233"/>
      <c r="J1306" s="233"/>
      <c r="K1306" s="233"/>
      <c r="L1306" s="147"/>
      <c r="M1306" s="146" t="s">
        <v>911</v>
      </c>
      <c r="N1306" s="233"/>
      <c r="O1306" s="233"/>
      <c r="P1306" s="233"/>
      <c r="Q1306" s="233"/>
      <c r="R1306" s="147"/>
    </row>
    <row r="1307" ht="14.45" customHeight="1" spans="1:18">
      <c r="A1307" s="7" t="s">
        <v>104</v>
      </c>
      <c r="B1307" s="7" t="s">
        <v>835</v>
      </c>
      <c r="C1307" s="7" t="s">
        <v>159</v>
      </c>
      <c r="D1307" s="7" t="s">
        <v>422</v>
      </c>
      <c r="E1307" s="7" t="s">
        <v>160</v>
      </c>
      <c r="F1307" s="7" t="s">
        <v>18</v>
      </c>
      <c r="G1307" s="7" t="s">
        <v>104</v>
      </c>
      <c r="H1307" s="7" t="s">
        <v>835</v>
      </c>
      <c r="I1307" s="7" t="s">
        <v>159</v>
      </c>
      <c r="J1307" s="7" t="s">
        <v>422</v>
      </c>
      <c r="K1307" s="7" t="s">
        <v>160</v>
      </c>
      <c r="L1307" s="7" t="s">
        <v>18</v>
      </c>
      <c r="M1307" s="7" t="s">
        <v>104</v>
      </c>
      <c r="N1307" s="7" t="s">
        <v>835</v>
      </c>
      <c r="O1307" s="7" t="s">
        <v>159</v>
      </c>
      <c r="P1307" s="7" t="s">
        <v>422</v>
      </c>
      <c r="Q1307" s="7" t="s">
        <v>160</v>
      </c>
      <c r="R1307" s="7" t="s">
        <v>18</v>
      </c>
    </row>
    <row r="1308" ht="14.45" customHeight="1" spans="1:18">
      <c r="A1308" s="7" t="s">
        <v>836</v>
      </c>
      <c r="B1308" s="7" t="s">
        <v>837</v>
      </c>
      <c r="C1308" s="7"/>
      <c r="D1308" s="7"/>
      <c r="E1308" s="7"/>
      <c r="F1308" s="34">
        <f>F1309+F1334+F1335</f>
        <v>42127.3616250221</v>
      </c>
      <c r="G1308" s="7" t="s">
        <v>836</v>
      </c>
      <c r="H1308" s="7" t="s">
        <v>837</v>
      </c>
      <c r="I1308" s="7"/>
      <c r="J1308" s="7"/>
      <c r="K1308" s="7"/>
      <c r="L1308" s="34">
        <f>L1309+L1334+L1335</f>
        <v>42171.8670148054</v>
      </c>
      <c r="M1308" s="7" t="s">
        <v>836</v>
      </c>
      <c r="N1308" s="7" t="s">
        <v>837</v>
      </c>
      <c r="O1308" s="7"/>
      <c r="P1308" s="7"/>
      <c r="Q1308" s="7"/>
      <c r="R1308" s="34">
        <f>R1309+R1334+R1335</f>
        <v>42699.6600339742</v>
      </c>
    </row>
    <row r="1309" ht="14.45" customHeight="1" spans="1:18">
      <c r="A1309" s="7" t="s">
        <v>539</v>
      </c>
      <c r="B1309" s="7" t="s">
        <v>838</v>
      </c>
      <c r="C1309" s="7"/>
      <c r="D1309" s="7"/>
      <c r="E1309" s="7"/>
      <c r="F1309" s="34">
        <f>F1310+F1313+F1323+F1331</f>
        <v>40197.8641460135</v>
      </c>
      <c r="G1309" s="7" t="s">
        <v>539</v>
      </c>
      <c r="H1309" s="7" t="s">
        <v>838</v>
      </c>
      <c r="I1309" s="7"/>
      <c r="J1309" s="7"/>
      <c r="K1309" s="7"/>
      <c r="L1309" s="34">
        <f>L1310+L1313+L1323+L1331</f>
        <v>40240.3311209975</v>
      </c>
      <c r="M1309" s="7" t="s">
        <v>539</v>
      </c>
      <c r="N1309" s="7" t="s">
        <v>838</v>
      </c>
      <c r="O1309" s="7"/>
      <c r="P1309" s="7"/>
      <c r="Q1309" s="7"/>
      <c r="R1309" s="34">
        <f>R1310+R1313+R1323+R1331</f>
        <v>40743.9504140975</v>
      </c>
    </row>
    <row r="1310" ht="14.45" customHeight="1" spans="1:18">
      <c r="A1310" s="7">
        <v>1</v>
      </c>
      <c r="B1310" s="7" t="s">
        <v>839</v>
      </c>
      <c r="C1310" s="7" t="s">
        <v>840</v>
      </c>
      <c r="D1310" s="34"/>
      <c r="E1310" s="42">
        <f>SUM(E1311:E1312)</f>
        <v>1750</v>
      </c>
      <c r="F1310" s="69">
        <f>SUM(F1311:F1312)</f>
        <v>13059.396</v>
      </c>
      <c r="G1310" s="7">
        <v>1</v>
      </c>
      <c r="H1310" s="7" t="s">
        <v>839</v>
      </c>
      <c r="I1310" s="7" t="s">
        <v>840</v>
      </c>
      <c r="J1310" s="34"/>
      <c r="K1310" s="42">
        <f>SUM(K1311:K1312)</f>
        <v>1750</v>
      </c>
      <c r="L1310" s="69">
        <f>SUM(L1311:L1312)</f>
        <v>13059.396</v>
      </c>
      <c r="M1310" s="7">
        <v>1</v>
      </c>
      <c r="N1310" s="7" t="s">
        <v>839</v>
      </c>
      <c r="O1310" s="7" t="s">
        <v>840</v>
      </c>
      <c r="P1310" s="34"/>
      <c r="Q1310" s="42">
        <f>SUM(Q1311:Q1312)</f>
        <v>1750</v>
      </c>
      <c r="R1310" s="69">
        <f>SUM(R1311:R1312)</f>
        <v>13059.396</v>
      </c>
    </row>
    <row r="1311" ht="14.45" customHeight="1" spans="1:18">
      <c r="A1311" s="7"/>
      <c r="B1311" s="7" t="s">
        <v>841</v>
      </c>
      <c r="C1311" s="7" t="s">
        <v>840</v>
      </c>
      <c r="D1311" s="69">
        <f>D1081</f>
        <v>8.1</v>
      </c>
      <c r="E1311" s="42">
        <f>1271.2</f>
        <v>1271.2</v>
      </c>
      <c r="F1311" s="69">
        <f>D1311*E1311</f>
        <v>10296.72</v>
      </c>
      <c r="G1311" s="7"/>
      <c r="H1311" s="7" t="s">
        <v>841</v>
      </c>
      <c r="I1311" s="7" t="s">
        <v>840</v>
      </c>
      <c r="J1311" s="69">
        <f>J1081</f>
        <v>8.1</v>
      </c>
      <c r="K1311" s="42">
        <f>E1311</f>
        <v>1271.2</v>
      </c>
      <c r="L1311" s="69">
        <f t="shared" ref="L1311:L1321" si="67">J1311*K1311</f>
        <v>10296.72</v>
      </c>
      <c r="M1311" s="7"/>
      <c r="N1311" s="7" t="s">
        <v>841</v>
      </c>
      <c r="O1311" s="7" t="s">
        <v>840</v>
      </c>
      <c r="P1311" s="69">
        <f>J1311</f>
        <v>8.1</v>
      </c>
      <c r="Q1311" s="42">
        <f>K1311</f>
        <v>1271.2</v>
      </c>
      <c r="R1311" s="69">
        <f t="shared" ref="R1311:R1312" si="68">P1311*Q1311</f>
        <v>10296.72</v>
      </c>
    </row>
    <row r="1312" ht="14.45" customHeight="1" spans="1:18">
      <c r="A1312" s="7"/>
      <c r="B1312" s="7" t="s">
        <v>842</v>
      </c>
      <c r="C1312" s="7" t="s">
        <v>840</v>
      </c>
      <c r="D1312" s="69">
        <f>D1082</f>
        <v>5.77</v>
      </c>
      <c r="E1312" s="42">
        <f>478.8</f>
        <v>478.8</v>
      </c>
      <c r="F1312" s="69">
        <f>D1312*E1312</f>
        <v>2762.676</v>
      </c>
      <c r="G1312" s="7"/>
      <c r="H1312" s="7" t="s">
        <v>842</v>
      </c>
      <c r="I1312" s="7" t="s">
        <v>840</v>
      </c>
      <c r="J1312" s="69">
        <f>J1082</f>
        <v>5.77</v>
      </c>
      <c r="K1312" s="42">
        <f>E1312</f>
        <v>478.8</v>
      </c>
      <c r="L1312" s="69">
        <f t="shared" si="67"/>
        <v>2762.676</v>
      </c>
      <c r="M1312" s="7"/>
      <c r="N1312" s="7" t="s">
        <v>842</v>
      </c>
      <c r="O1312" s="7" t="s">
        <v>840</v>
      </c>
      <c r="P1312" s="69">
        <f>J1312</f>
        <v>5.77</v>
      </c>
      <c r="Q1312" s="42">
        <f>K1312</f>
        <v>478.8</v>
      </c>
      <c r="R1312" s="69">
        <f t="shared" si="68"/>
        <v>2762.676</v>
      </c>
    </row>
    <row r="1313" ht="14.45" customHeight="1" spans="1:18">
      <c r="A1313" s="7">
        <v>2</v>
      </c>
      <c r="B1313" s="7" t="s">
        <v>912</v>
      </c>
      <c r="C1313" s="7"/>
      <c r="D1313" s="34"/>
      <c r="E1313" s="34"/>
      <c r="F1313" s="34">
        <f>SUM(F1314:F1322)</f>
        <v>24316.324469676</v>
      </c>
      <c r="G1313" s="7">
        <v>2</v>
      </c>
      <c r="H1313" s="7" t="s">
        <v>912</v>
      </c>
      <c r="I1313" s="7"/>
      <c r="J1313" s="34"/>
      <c r="K1313" s="34"/>
      <c r="L1313" s="34">
        <f>SUM(L1314:L1322)</f>
        <v>24358.79144466</v>
      </c>
      <c r="M1313" s="7">
        <v>2</v>
      </c>
      <c r="N1313" s="7" t="s">
        <v>912</v>
      </c>
      <c r="O1313" s="7"/>
      <c r="P1313" s="34"/>
      <c r="Q1313" s="34"/>
      <c r="R1313" s="34">
        <f>SUM(R1314:R1322)</f>
        <v>24862.41073776</v>
      </c>
    </row>
    <row r="1314" ht="14.45" customHeight="1" spans="1:18">
      <c r="A1314" s="7"/>
      <c r="B1314" s="273" t="s">
        <v>996</v>
      </c>
      <c r="C1314" s="273" t="s">
        <v>169</v>
      </c>
      <c r="D1314" s="34">
        <f>D1130</f>
        <v>2238.008025</v>
      </c>
      <c r="E1314" s="34">
        <v>0.98</v>
      </c>
      <c r="F1314" s="34">
        <f t="shared" ref="F1314:F1321" si="69">D1314*E1314</f>
        <v>2193.2478645</v>
      </c>
      <c r="G1314" s="7"/>
      <c r="H1314" s="273" t="s">
        <v>996</v>
      </c>
      <c r="I1314" s="273" t="s">
        <v>169</v>
      </c>
      <c r="J1314" s="34">
        <f t="shared" ref="J1314:J1319" si="70">D1314</f>
        <v>2238.008025</v>
      </c>
      <c r="K1314" s="34">
        <v>0.98</v>
      </c>
      <c r="L1314" s="34">
        <f t="shared" si="67"/>
        <v>2193.2478645</v>
      </c>
      <c r="M1314" s="7"/>
      <c r="N1314" s="273" t="s">
        <v>996</v>
      </c>
      <c r="O1314" s="273" t="s">
        <v>169</v>
      </c>
      <c r="P1314" s="34">
        <f>J1314</f>
        <v>2238.008025</v>
      </c>
      <c r="Q1314" s="34">
        <v>0.98</v>
      </c>
      <c r="R1314" s="34">
        <f t="shared" ref="R1314:R1321" si="71">P1314*Q1314</f>
        <v>2193.2478645</v>
      </c>
    </row>
    <row r="1315" ht="14.45" customHeight="1" spans="1:18">
      <c r="A1315" s="7"/>
      <c r="B1315" s="273" t="s">
        <v>997</v>
      </c>
      <c r="C1315" s="273" t="s">
        <v>863</v>
      </c>
      <c r="D1315" s="34">
        <f>基础材料表!D34</f>
        <v>4.44</v>
      </c>
      <c r="E1315" s="34">
        <v>103.85</v>
      </c>
      <c r="F1315" s="34">
        <f t="shared" si="69"/>
        <v>461.094</v>
      </c>
      <c r="G1315" s="7"/>
      <c r="H1315" s="273" t="s">
        <v>997</v>
      </c>
      <c r="I1315" s="273" t="s">
        <v>863</v>
      </c>
      <c r="J1315" s="34">
        <f t="shared" si="70"/>
        <v>4.44</v>
      </c>
      <c r="K1315" s="34">
        <v>103.85</v>
      </c>
      <c r="L1315" s="34">
        <f t="shared" si="67"/>
        <v>461.094</v>
      </c>
      <c r="M1315" s="7"/>
      <c r="N1315" s="273" t="s">
        <v>997</v>
      </c>
      <c r="O1315" s="273" t="s">
        <v>863</v>
      </c>
      <c r="P1315" s="34">
        <f t="shared" ref="P1315:P1321" si="72">J1315</f>
        <v>4.44</v>
      </c>
      <c r="Q1315" s="34">
        <v>103.85</v>
      </c>
      <c r="R1315" s="34">
        <f t="shared" si="71"/>
        <v>461.094</v>
      </c>
    </row>
    <row r="1316" ht="14.45" customHeight="1" spans="1:18">
      <c r="A1316" s="7"/>
      <c r="B1316" s="273" t="s">
        <v>998</v>
      </c>
      <c r="C1316" s="273" t="s">
        <v>863</v>
      </c>
      <c r="D1316" s="34">
        <f>基础材料表!D30</f>
        <v>4.5</v>
      </c>
      <c r="E1316" s="34">
        <v>73.88</v>
      </c>
      <c r="F1316" s="34">
        <f t="shared" si="69"/>
        <v>332.46</v>
      </c>
      <c r="G1316" s="7"/>
      <c r="H1316" s="273" t="s">
        <v>998</v>
      </c>
      <c r="I1316" s="273" t="s">
        <v>863</v>
      </c>
      <c r="J1316" s="34">
        <f t="shared" si="70"/>
        <v>4.5</v>
      </c>
      <c r="K1316" s="34">
        <v>73.88</v>
      </c>
      <c r="L1316" s="34">
        <f t="shared" si="67"/>
        <v>332.46</v>
      </c>
      <c r="M1316" s="7"/>
      <c r="N1316" s="273" t="s">
        <v>998</v>
      </c>
      <c r="O1316" s="273" t="s">
        <v>863</v>
      </c>
      <c r="P1316" s="34">
        <f t="shared" si="72"/>
        <v>4.5</v>
      </c>
      <c r="Q1316" s="34">
        <v>73.88</v>
      </c>
      <c r="R1316" s="34">
        <f t="shared" si="71"/>
        <v>332.46</v>
      </c>
    </row>
    <row r="1317" ht="14.45" customHeight="1" spans="1:18">
      <c r="A1317" s="7"/>
      <c r="B1317" s="273" t="s">
        <v>999</v>
      </c>
      <c r="C1317" s="273" t="s">
        <v>863</v>
      </c>
      <c r="D1317" s="34">
        <f>基础材料表!D16</f>
        <v>5.15</v>
      </c>
      <c r="E1317" s="34">
        <v>48</v>
      </c>
      <c r="F1317" s="34">
        <f t="shared" si="69"/>
        <v>247.2</v>
      </c>
      <c r="G1317" s="7"/>
      <c r="H1317" s="273" t="s">
        <v>999</v>
      </c>
      <c r="I1317" s="273" t="s">
        <v>863</v>
      </c>
      <c r="J1317" s="34">
        <f t="shared" si="70"/>
        <v>5.15</v>
      </c>
      <c r="K1317" s="34">
        <v>48</v>
      </c>
      <c r="L1317" s="34">
        <f t="shared" si="67"/>
        <v>247.2</v>
      </c>
      <c r="M1317" s="7"/>
      <c r="N1317" s="273" t="s">
        <v>999</v>
      </c>
      <c r="O1317" s="273" t="s">
        <v>863</v>
      </c>
      <c r="P1317" s="34">
        <f t="shared" si="72"/>
        <v>5.15</v>
      </c>
      <c r="Q1317" s="34">
        <v>48</v>
      </c>
      <c r="R1317" s="34">
        <f t="shared" si="71"/>
        <v>247.2</v>
      </c>
    </row>
    <row r="1318" ht="14.45" customHeight="1" spans="1:18">
      <c r="A1318" s="7"/>
      <c r="B1318" s="273" t="s">
        <v>1000</v>
      </c>
      <c r="C1318" s="273" t="s">
        <v>863</v>
      </c>
      <c r="D1318" s="34">
        <f>基础材料表!D28</f>
        <v>4.5</v>
      </c>
      <c r="E1318" s="34">
        <v>328.9</v>
      </c>
      <c r="F1318" s="34">
        <f t="shared" si="69"/>
        <v>1480.05</v>
      </c>
      <c r="G1318" s="7"/>
      <c r="H1318" s="273" t="s">
        <v>1000</v>
      </c>
      <c r="I1318" s="273" t="s">
        <v>863</v>
      </c>
      <c r="J1318" s="34">
        <f t="shared" si="70"/>
        <v>4.5</v>
      </c>
      <c r="K1318" s="34">
        <v>328.9</v>
      </c>
      <c r="L1318" s="34">
        <f t="shared" si="67"/>
        <v>1480.05</v>
      </c>
      <c r="M1318" s="7"/>
      <c r="N1318" s="273" t="s">
        <v>1000</v>
      </c>
      <c r="O1318" s="273" t="s">
        <v>863</v>
      </c>
      <c r="P1318" s="34">
        <f t="shared" si="72"/>
        <v>4.5</v>
      </c>
      <c r="Q1318" s="34">
        <v>328.9</v>
      </c>
      <c r="R1318" s="34">
        <f t="shared" si="71"/>
        <v>1480.05</v>
      </c>
    </row>
    <row r="1319" ht="14.45" customHeight="1" spans="1:18">
      <c r="A1319" s="7"/>
      <c r="B1319" s="273" t="s">
        <v>1002</v>
      </c>
      <c r="C1319" s="273" t="s">
        <v>863</v>
      </c>
      <c r="D1319" s="34">
        <f>基础材料表!D5</f>
        <v>5.97</v>
      </c>
      <c r="E1319" s="34">
        <v>6.91</v>
      </c>
      <c r="F1319" s="34">
        <f t="shared" si="69"/>
        <v>41.2527</v>
      </c>
      <c r="G1319" s="7"/>
      <c r="H1319" s="273" t="s">
        <v>1002</v>
      </c>
      <c r="I1319" s="273" t="s">
        <v>863</v>
      </c>
      <c r="J1319" s="34">
        <f t="shared" si="70"/>
        <v>5.97</v>
      </c>
      <c r="K1319" s="34">
        <v>6.91</v>
      </c>
      <c r="L1319" s="34">
        <f t="shared" si="67"/>
        <v>41.2527</v>
      </c>
      <c r="M1319" s="7"/>
      <c r="N1319" s="273" t="s">
        <v>1002</v>
      </c>
      <c r="O1319" s="273" t="s">
        <v>863</v>
      </c>
      <c r="P1319" s="34">
        <f t="shared" si="72"/>
        <v>5.97</v>
      </c>
      <c r="Q1319" s="34">
        <v>6.91</v>
      </c>
      <c r="R1319" s="34">
        <f t="shared" si="71"/>
        <v>41.2527</v>
      </c>
    </row>
    <row r="1320" ht="14.45" customHeight="1" spans="1:18">
      <c r="A1320" s="7"/>
      <c r="B1320" s="7" t="s">
        <v>1003</v>
      </c>
      <c r="C1320" s="7" t="s">
        <v>169</v>
      </c>
      <c r="D1320" s="34">
        <f>配合比!M9</f>
        <v>182.8439731</v>
      </c>
      <c r="E1320" s="34">
        <v>103</v>
      </c>
      <c r="F1320" s="34">
        <f t="shared" si="69"/>
        <v>18832.9292293</v>
      </c>
      <c r="G1320" s="7"/>
      <c r="H1320" s="7" t="s">
        <v>1016</v>
      </c>
      <c r="I1320" s="7" t="s">
        <v>169</v>
      </c>
      <c r="J1320" s="34">
        <f>配合比!M10</f>
        <v>183.2481895</v>
      </c>
      <c r="K1320" s="34">
        <v>103</v>
      </c>
      <c r="L1320" s="34">
        <f t="shared" si="67"/>
        <v>18874.5635185</v>
      </c>
      <c r="M1320" s="7"/>
      <c r="N1320" s="7" t="s">
        <v>1016</v>
      </c>
      <c r="O1320" s="7" t="s">
        <v>169</v>
      </c>
      <c r="P1320" s="34">
        <f>配合比!M11</f>
        <v>188.0418245</v>
      </c>
      <c r="Q1320" s="34">
        <v>103</v>
      </c>
      <c r="R1320" s="34">
        <f t="shared" si="71"/>
        <v>19368.3079235</v>
      </c>
    </row>
    <row r="1321" ht="14.45" customHeight="1" spans="1:18">
      <c r="A1321" s="7"/>
      <c r="B1321" s="7" t="s">
        <v>913</v>
      </c>
      <c r="C1321" s="7" t="s">
        <v>169</v>
      </c>
      <c r="D1321" s="34">
        <f>材料预算价!K13</f>
        <v>3.59</v>
      </c>
      <c r="E1321" s="34">
        <v>70</v>
      </c>
      <c r="F1321" s="34">
        <f t="shared" si="69"/>
        <v>251.3</v>
      </c>
      <c r="G1321" s="7"/>
      <c r="H1321" s="7" t="s">
        <v>913</v>
      </c>
      <c r="I1321" s="7" t="s">
        <v>169</v>
      </c>
      <c r="J1321" s="34">
        <f>D1321</f>
        <v>3.59</v>
      </c>
      <c r="K1321" s="34">
        <v>70</v>
      </c>
      <c r="L1321" s="34">
        <f t="shared" si="67"/>
        <v>251.3</v>
      </c>
      <c r="M1321" s="7"/>
      <c r="N1321" s="7" t="s">
        <v>913</v>
      </c>
      <c r="O1321" s="7" t="s">
        <v>169</v>
      </c>
      <c r="P1321" s="34">
        <f t="shared" si="72"/>
        <v>3.59</v>
      </c>
      <c r="Q1321" s="34">
        <v>70</v>
      </c>
      <c r="R1321" s="34">
        <f t="shared" si="71"/>
        <v>251.3</v>
      </c>
    </row>
    <row r="1322" ht="14.45" customHeight="1" spans="1:18">
      <c r="A1322" s="7"/>
      <c r="B1322" s="7" t="s">
        <v>1004</v>
      </c>
      <c r="C1322" s="9" t="s">
        <v>845</v>
      </c>
      <c r="D1322" s="34">
        <f>SUM(F1314:F1321)</f>
        <v>23839.5337938</v>
      </c>
      <c r="E1322" s="34">
        <v>2</v>
      </c>
      <c r="F1322" s="34">
        <f>D1322*E1322/100</f>
        <v>476.790675876</v>
      </c>
      <c r="G1322" s="7"/>
      <c r="H1322" s="7" t="s">
        <v>1004</v>
      </c>
      <c r="I1322" s="9" t="s">
        <v>845</v>
      </c>
      <c r="J1322" s="34">
        <f>SUM(L1314:L1321)</f>
        <v>23881.168083</v>
      </c>
      <c r="K1322" s="34">
        <v>2</v>
      </c>
      <c r="L1322" s="34">
        <f>J1322*K1322/100</f>
        <v>477.62336166</v>
      </c>
      <c r="M1322" s="7"/>
      <c r="N1322" s="7" t="s">
        <v>1004</v>
      </c>
      <c r="O1322" s="9" t="s">
        <v>845</v>
      </c>
      <c r="P1322" s="34">
        <f>SUM(R1314:R1321)</f>
        <v>24374.912488</v>
      </c>
      <c r="Q1322" s="34">
        <v>2</v>
      </c>
      <c r="R1322" s="34">
        <f>P1322*Q1322/100</f>
        <v>487.49824976</v>
      </c>
    </row>
    <row r="1323" ht="14.45" customHeight="1" spans="1:18">
      <c r="A1323" s="7">
        <v>3</v>
      </c>
      <c r="B1323" s="7" t="s">
        <v>859</v>
      </c>
      <c r="C1323" s="7"/>
      <c r="D1323" s="34"/>
      <c r="E1323" s="34"/>
      <c r="F1323" s="34">
        <f>SUM(F1324:F1330)</f>
        <v>830.487484949342</v>
      </c>
      <c r="G1323" s="7">
        <v>3</v>
      </c>
      <c r="H1323" s="7" t="s">
        <v>859</v>
      </c>
      <c r="I1323" s="7"/>
      <c r="J1323" s="34"/>
      <c r="K1323" s="34"/>
      <c r="L1323" s="34">
        <f>SUM(L1324:L1330)</f>
        <v>830.487484949342</v>
      </c>
      <c r="M1323" s="7">
        <v>3</v>
      </c>
      <c r="N1323" s="7" t="s">
        <v>859</v>
      </c>
      <c r="O1323" s="7"/>
      <c r="P1323" s="34"/>
      <c r="Q1323" s="34"/>
      <c r="R1323" s="34">
        <f>SUM(R1324:R1330)</f>
        <v>830.487484949342</v>
      </c>
    </row>
    <row r="1324" ht="14.45" customHeight="1" spans="1:18">
      <c r="A1324" s="7"/>
      <c r="B1324" s="7" t="s">
        <v>1005</v>
      </c>
      <c r="C1324" s="7" t="s">
        <v>428</v>
      </c>
      <c r="D1324" s="34">
        <f>D1094</f>
        <v>49.389824491424</v>
      </c>
      <c r="E1324" s="34">
        <v>0.46</v>
      </c>
      <c r="F1324" s="34">
        <f t="shared" ref="F1324:F1329" si="73">D1324*E1324</f>
        <v>22.719319266055</v>
      </c>
      <c r="G1324" s="7"/>
      <c r="H1324" s="7" t="s">
        <v>1005</v>
      </c>
      <c r="I1324" s="7" t="s">
        <v>428</v>
      </c>
      <c r="J1324" s="34">
        <f>J1094</f>
        <v>49.389824491424</v>
      </c>
      <c r="K1324" s="34">
        <v>0.46</v>
      </c>
      <c r="L1324" s="34">
        <f t="shared" ref="L1324:L1329" si="74">J1324*K1324</f>
        <v>22.719319266055</v>
      </c>
      <c r="M1324" s="7"/>
      <c r="N1324" s="7" t="s">
        <v>1005</v>
      </c>
      <c r="O1324" s="7" t="s">
        <v>428</v>
      </c>
      <c r="P1324" s="34">
        <f>J1324</f>
        <v>49.389824491424</v>
      </c>
      <c r="Q1324" s="34">
        <v>0.46</v>
      </c>
      <c r="R1324" s="34">
        <f t="shared" ref="R1324:R1329" si="75">P1324*Q1324</f>
        <v>22.719319266055</v>
      </c>
    </row>
    <row r="1325" ht="14.45" customHeight="1" spans="1:18">
      <c r="A1325" s="7"/>
      <c r="B1325" s="7" t="s">
        <v>1006</v>
      </c>
      <c r="C1325" s="7" t="s">
        <v>428</v>
      </c>
      <c r="D1325" s="34">
        <f>台时!F84</f>
        <v>62.3342780215397</v>
      </c>
      <c r="E1325" s="34"/>
      <c r="F1325" s="34">
        <f t="shared" si="73"/>
        <v>0</v>
      </c>
      <c r="G1325" s="7"/>
      <c r="H1325" s="7" t="s">
        <v>1006</v>
      </c>
      <c r="I1325" s="7" t="s">
        <v>428</v>
      </c>
      <c r="J1325" s="34">
        <f>D1325</f>
        <v>62.3342780215397</v>
      </c>
      <c r="K1325" s="34"/>
      <c r="L1325" s="34">
        <f t="shared" si="74"/>
        <v>0</v>
      </c>
      <c r="M1325" s="7"/>
      <c r="N1325" s="7" t="s">
        <v>1006</v>
      </c>
      <c r="O1325" s="7" t="s">
        <v>428</v>
      </c>
      <c r="P1325" s="34">
        <f t="shared" ref="P1325:P1329" si="76">J1325</f>
        <v>62.3342780215397</v>
      </c>
      <c r="Q1325" s="34"/>
      <c r="R1325" s="34">
        <f t="shared" si="75"/>
        <v>0</v>
      </c>
    </row>
    <row r="1326" ht="14.45" customHeight="1" spans="1:18">
      <c r="A1326" s="7"/>
      <c r="B1326" s="7" t="s">
        <v>1007</v>
      </c>
      <c r="C1326" s="7" t="s">
        <v>428</v>
      </c>
      <c r="D1326" s="34">
        <f>台时!E84</f>
        <v>8.3371858795373</v>
      </c>
      <c r="E1326" s="251">
        <v>10.32</v>
      </c>
      <c r="F1326" s="34">
        <f t="shared" si="73"/>
        <v>86.0397582768249</v>
      </c>
      <c r="G1326" s="7"/>
      <c r="H1326" s="7" t="s">
        <v>1007</v>
      </c>
      <c r="I1326" s="7" t="s">
        <v>428</v>
      </c>
      <c r="J1326" s="34">
        <f>D1326</f>
        <v>8.3371858795373</v>
      </c>
      <c r="K1326" s="251">
        <v>10.32</v>
      </c>
      <c r="L1326" s="34">
        <f t="shared" si="74"/>
        <v>86.0397582768249</v>
      </c>
      <c r="M1326" s="7"/>
      <c r="N1326" s="7" t="s">
        <v>1007</v>
      </c>
      <c r="O1326" s="7" t="s">
        <v>428</v>
      </c>
      <c r="P1326" s="34">
        <f t="shared" si="76"/>
        <v>8.3371858795373</v>
      </c>
      <c r="Q1326" s="251">
        <v>10.32</v>
      </c>
      <c r="R1326" s="34">
        <f t="shared" si="75"/>
        <v>86.0397582768249</v>
      </c>
    </row>
    <row r="1327" ht="14.45" customHeight="1" spans="1:18">
      <c r="A1327" s="7"/>
      <c r="B1327" s="7" t="s">
        <v>1008</v>
      </c>
      <c r="C1327" s="7" t="s">
        <v>428</v>
      </c>
      <c r="D1327" s="34">
        <f>台时!D42</f>
        <v>23.9179521340247</v>
      </c>
      <c r="E1327" s="34">
        <v>18.54</v>
      </c>
      <c r="F1327" s="34">
        <f t="shared" si="73"/>
        <v>443.438832564818</v>
      </c>
      <c r="G1327" s="7"/>
      <c r="H1327" s="7" t="s">
        <v>1008</v>
      </c>
      <c r="I1327" s="7" t="s">
        <v>428</v>
      </c>
      <c r="J1327" s="34">
        <f>D1327</f>
        <v>23.9179521340247</v>
      </c>
      <c r="K1327" s="34">
        <v>18.54</v>
      </c>
      <c r="L1327" s="34">
        <f t="shared" si="74"/>
        <v>443.438832564818</v>
      </c>
      <c r="M1327" s="7"/>
      <c r="N1327" s="7" t="s">
        <v>1008</v>
      </c>
      <c r="O1327" s="7" t="s">
        <v>428</v>
      </c>
      <c r="P1327" s="34">
        <f t="shared" si="76"/>
        <v>23.9179521340247</v>
      </c>
      <c r="Q1327" s="34">
        <v>18.54</v>
      </c>
      <c r="R1327" s="34">
        <f t="shared" si="75"/>
        <v>443.438832564818</v>
      </c>
    </row>
    <row r="1328" ht="14.45" customHeight="1" spans="1:18">
      <c r="A1328" s="7"/>
      <c r="B1328" s="7" t="s">
        <v>1021</v>
      </c>
      <c r="C1328" s="7" t="s">
        <v>428</v>
      </c>
      <c r="D1328" s="34">
        <f>台时!C84</f>
        <v>2.41252772237734</v>
      </c>
      <c r="E1328" s="34">
        <v>30</v>
      </c>
      <c r="F1328" s="34">
        <f t="shared" si="73"/>
        <v>72.3758316713203</v>
      </c>
      <c r="G1328" s="7"/>
      <c r="H1328" s="7" t="s">
        <v>1021</v>
      </c>
      <c r="I1328" s="7" t="s">
        <v>428</v>
      </c>
      <c r="J1328" s="34">
        <f>D1328</f>
        <v>2.41252772237734</v>
      </c>
      <c r="K1328" s="34">
        <v>30</v>
      </c>
      <c r="L1328" s="34">
        <f t="shared" si="74"/>
        <v>72.3758316713203</v>
      </c>
      <c r="M1328" s="7"/>
      <c r="N1328" s="7" t="s">
        <v>1021</v>
      </c>
      <c r="O1328" s="7" t="s">
        <v>428</v>
      </c>
      <c r="P1328" s="34">
        <f t="shared" si="76"/>
        <v>2.41252772237734</v>
      </c>
      <c r="Q1328" s="34">
        <v>30</v>
      </c>
      <c r="R1328" s="34">
        <f t="shared" si="75"/>
        <v>72.3758316713203</v>
      </c>
    </row>
    <row r="1329" ht="14.45" customHeight="1" spans="1:18">
      <c r="A1329" s="7"/>
      <c r="B1329" s="7" t="s">
        <v>967</v>
      </c>
      <c r="C1329" s="7" t="s">
        <v>428</v>
      </c>
      <c r="D1329" s="34">
        <f>D1098</f>
        <v>0.813242919824491</v>
      </c>
      <c r="E1329" s="34">
        <v>83</v>
      </c>
      <c r="F1329" s="34">
        <f t="shared" si="73"/>
        <v>67.4991623454328</v>
      </c>
      <c r="G1329" s="7"/>
      <c r="H1329" s="7" t="s">
        <v>967</v>
      </c>
      <c r="I1329" s="7" t="s">
        <v>428</v>
      </c>
      <c r="J1329" s="34">
        <f>D1329</f>
        <v>0.813242919824491</v>
      </c>
      <c r="K1329" s="34">
        <v>83</v>
      </c>
      <c r="L1329" s="34">
        <f t="shared" si="74"/>
        <v>67.4991623454328</v>
      </c>
      <c r="M1329" s="7"/>
      <c r="N1329" s="7" t="s">
        <v>967</v>
      </c>
      <c r="O1329" s="7" t="s">
        <v>428</v>
      </c>
      <c r="P1329" s="34">
        <f t="shared" si="76"/>
        <v>0.813242919824491</v>
      </c>
      <c r="Q1329" s="34">
        <v>83</v>
      </c>
      <c r="R1329" s="34">
        <f t="shared" si="75"/>
        <v>67.4991623454328</v>
      </c>
    </row>
    <row r="1330" ht="14.45" customHeight="1" spans="1:18">
      <c r="A1330" s="7"/>
      <c r="B1330" s="7" t="s">
        <v>918</v>
      </c>
      <c r="C1330" s="9" t="s">
        <v>845</v>
      </c>
      <c r="D1330" s="34">
        <f>SUM(F1324:F1329)</f>
        <v>692.072904124451</v>
      </c>
      <c r="E1330" s="247">
        <v>20</v>
      </c>
      <c r="F1330" s="34">
        <f>D1330*E1330/100</f>
        <v>138.41458082489</v>
      </c>
      <c r="G1330" s="7"/>
      <c r="H1330" s="7" t="s">
        <v>918</v>
      </c>
      <c r="I1330" s="9" t="s">
        <v>845</v>
      </c>
      <c r="J1330" s="34">
        <f>SUM(L1324:L1329)</f>
        <v>692.072904124451</v>
      </c>
      <c r="K1330" s="247">
        <v>20</v>
      </c>
      <c r="L1330" s="34">
        <f>J1330*K1330/100</f>
        <v>138.41458082489</v>
      </c>
      <c r="M1330" s="7"/>
      <c r="N1330" s="7" t="s">
        <v>918</v>
      </c>
      <c r="O1330" s="9" t="s">
        <v>845</v>
      </c>
      <c r="P1330" s="34">
        <f>SUM(R1324:R1329)</f>
        <v>692.072904124451</v>
      </c>
      <c r="Q1330" s="247">
        <v>20</v>
      </c>
      <c r="R1330" s="34">
        <f>P1330*Q1330/100</f>
        <v>138.41458082489</v>
      </c>
    </row>
    <row r="1331" ht="14.45" customHeight="1" spans="1:18">
      <c r="A1331" s="5">
        <v>4</v>
      </c>
      <c r="B1331" s="5" t="s">
        <v>1010</v>
      </c>
      <c r="C1331" s="275"/>
      <c r="D1331" s="276"/>
      <c r="E1331" s="276"/>
      <c r="F1331" s="276">
        <f>SUM(F1332:F1333)</f>
        <v>1991.65619138815</v>
      </c>
      <c r="G1331" s="5">
        <v>4</v>
      </c>
      <c r="H1331" s="5" t="s">
        <v>1010</v>
      </c>
      <c r="I1331" s="275"/>
      <c r="J1331" s="276"/>
      <c r="K1331" s="276"/>
      <c r="L1331" s="276">
        <f>SUM(L1332:L1333)</f>
        <v>1991.65619138815</v>
      </c>
      <c r="M1331" s="5">
        <v>4</v>
      </c>
      <c r="N1331" s="5" t="s">
        <v>1010</v>
      </c>
      <c r="O1331" s="275"/>
      <c r="P1331" s="276"/>
      <c r="Q1331" s="276"/>
      <c r="R1331" s="276">
        <f>SUM(R1332:R1333)</f>
        <v>1991.65619138815</v>
      </c>
    </row>
    <row r="1332" ht="14.45" customHeight="1" spans="1:18">
      <c r="A1332" s="7"/>
      <c r="B1332" s="123" t="s">
        <v>681</v>
      </c>
      <c r="C1332" s="123" t="s">
        <v>169</v>
      </c>
      <c r="D1332" s="274">
        <f>$F$2795/100</f>
        <v>5.03319379720782</v>
      </c>
      <c r="E1332" s="274">
        <v>103</v>
      </c>
      <c r="F1332" s="34">
        <f>D1332*E1332</f>
        <v>518.418961112405</v>
      </c>
      <c r="G1332" s="7"/>
      <c r="H1332" s="123" t="s">
        <v>681</v>
      </c>
      <c r="I1332" s="123" t="s">
        <v>169</v>
      </c>
      <c r="J1332" s="274">
        <f>$F$2795/100</f>
        <v>5.03319379720782</v>
      </c>
      <c r="K1332" s="274">
        <v>103</v>
      </c>
      <c r="L1332" s="34">
        <f>J1332*K1332</f>
        <v>518.418961112405</v>
      </c>
      <c r="M1332" s="7"/>
      <c r="N1332" s="123" t="s">
        <v>681</v>
      </c>
      <c r="O1332" s="123" t="s">
        <v>169</v>
      </c>
      <c r="P1332" s="274">
        <f>$F$2795/100</f>
        <v>5.03319379720782</v>
      </c>
      <c r="Q1332" s="274">
        <v>103</v>
      </c>
      <c r="R1332" s="34">
        <f>P1332*Q1332</f>
        <v>518.418961112405</v>
      </c>
    </row>
    <row r="1333" ht="14.45" customHeight="1" spans="1:18">
      <c r="A1333" s="7"/>
      <c r="B1333" s="123" t="s">
        <v>682</v>
      </c>
      <c r="C1333" s="123" t="s">
        <v>169</v>
      </c>
      <c r="D1333" s="274">
        <f>$F$2813/100</f>
        <v>14.303274080347</v>
      </c>
      <c r="E1333" s="274">
        <v>103</v>
      </c>
      <c r="F1333" s="34">
        <f>D1333*E1333</f>
        <v>1473.23723027574</v>
      </c>
      <c r="G1333" s="7"/>
      <c r="H1333" s="123" t="s">
        <v>682</v>
      </c>
      <c r="I1333" s="123" t="s">
        <v>169</v>
      </c>
      <c r="J1333" s="274">
        <f>$F$2813/100</f>
        <v>14.303274080347</v>
      </c>
      <c r="K1333" s="274">
        <v>103</v>
      </c>
      <c r="L1333" s="34">
        <f>J1333*K1333</f>
        <v>1473.23723027574</v>
      </c>
      <c r="M1333" s="7"/>
      <c r="N1333" s="123" t="s">
        <v>682</v>
      </c>
      <c r="O1333" s="123" t="s">
        <v>169</v>
      </c>
      <c r="P1333" s="274">
        <f>$F$2813/100</f>
        <v>14.303274080347</v>
      </c>
      <c r="Q1333" s="274">
        <v>103</v>
      </c>
      <c r="R1333" s="34">
        <f>P1333*Q1333</f>
        <v>1473.23723027574</v>
      </c>
    </row>
    <row r="1334" ht="14.45" customHeight="1" spans="1:18">
      <c r="A1334" s="7" t="s">
        <v>564</v>
      </c>
      <c r="B1334" s="7" t="s">
        <v>846</v>
      </c>
      <c r="C1334" s="230">
        <f>取费表!$C$7</f>
        <v>0.048</v>
      </c>
      <c r="D1334" s="274"/>
      <c r="E1334" s="274">
        <f>F1309</f>
        <v>40197.8641460135</v>
      </c>
      <c r="F1334" s="34">
        <f>E1334*C1334</f>
        <v>1929.49747900865</v>
      </c>
      <c r="G1334" s="7" t="s">
        <v>564</v>
      </c>
      <c r="H1334" s="7" t="s">
        <v>846</v>
      </c>
      <c r="I1334" s="230">
        <f>取费表!$C$7</f>
        <v>0.048</v>
      </c>
      <c r="J1334" s="274"/>
      <c r="K1334" s="274">
        <f>L1309</f>
        <v>40240.3311209975</v>
      </c>
      <c r="L1334" s="34">
        <f t="shared" ref="L1334:L1337" si="77">K1334*I1334</f>
        <v>1931.53589380788</v>
      </c>
      <c r="M1334" s="7" t="s">
        <v>564</v>
      </c>
      <c r="N1334" s="7" t="s">
        <v>846</v>
      </c>
      <c r="O1334" s="230">
        <f>取费表!$C$7</f>
        <v>0.048</v>
      </c>
      <c r="P1334" s="274"/>
      <c r="Q1334" s="274">
        <f>R1309</f>
        <v>40743.9504140975</v>
      </c>
      <c r="R1334" s="34">
        <f t="shared" ref="R1334" si="78">Q1334*O1334</f>
        <v>1955.70961987668</v>
      </c>
    </row>
    <row r="1335" ht="14.45" customHeight="1" spans="1:18">
      <c r="A1335" s="7"/>
      <c r="B1335" s="7"/>
      <c r="C1335" s="230"/>
      <c r="D1335" s="274"/>
      <c r="E1335" s="274"/>
      <c r="F1335" s="34"/>
      <c r="G1335" s="7"/>
      <c r="H1335" s="7"/>
      <c r="I1335" s="230"/>
      <c r="J1335" s="274"/>
      <c r="K1335" s="274"/>
      <c r="L1335" s="34"/>
      <c r="M1335" s="7"/>
      <c r="N1335" s="7"/>
      <c r="O1335" s="230"/>
      <c r="P1335" s="274"/>
      <c r="Q1335" s="274"/>
      <c r="R1335" s="34"/>
    </row>
    <row r="1336" ht="14.45" customHeight="1" spans="1:18">
      <c r="A1336" s="7" t="s">
        <v>439</v>
      </c>
      <c r="B1336" s="7" t="s">
        <v>847</v>
      </c>
      <c r="C1336" s="230">
        <f>取费表!$E$7</f>
        <v>0.07</v>
      </c>
      <c r="D1336" s="274"/>
      <c r="E1336" s="274">
        <f>F1308</f>
        <v>42127.3616250221</v>
      </c>
      <c r="F1336" s="34">
        <f>E1336*C1336</f>
        <v>2948.91531375155</v>
      </c>
      <c r="G1336" s="7" t="s">
        <v>439</v>
      </c>
      <c r="H1336" s="7" t="s">
        <v>847</v>
      </c>
      <c r="I1336" s="230">
        <f>取费表!$E$7</f>
        <v>0.07</v>
      </c>
      <c r="J1336" s="274"/>
      <c r="K1336" s="274">
        <f>L1308</f>
        <v>42171.8670148054</v>
      </c>
      <c r="L1336" s="34">
        <f t="shared" si="77"/>
        <v>2952.03069103638</v>
      </c>
      <c r="M1336" s="7" t="s">
        <v>439</v>
      </c>
      <c r="N1336" s="7" t="s">
        <v>847</v>
      </c>
      <c r="O1336" s="230">
        <f>取费表!$E$7</f>
        <v>0.07</v>
      </c>
      <c r="P1336" s="274"/>
      <c r="Q1336" s="274">
        <f>R1308</f>
        <v>42699.6600339742</v>
      </c>
      <c r="R1336" s="34">
        <f t="shared" ref="R1336:R1337" si="79">Q1336*O1336</f>
        <v>2988.97620237819</v>
      </c>
    </row>
    <row r="1337" ht="14.45" customHeight="1" spans="1:18">
      <c r="A1337" s="7" t="s">
        <v>83</v>
      </c>
      <c r="B1337" s="7" t="s">
        <v>848</v>
      </c>
      <c r="C1337" s="230">
        <f>取费表!$F$7</f>
        <v>0.07</v>
      </c>
      <c r="D1337" s="274"/>
      <c r="E1337" s="274">
        <f>F1336+F1308</f>
        <v>45076.2769387737</v>
      </c>
      <c r="F1337" s="34">
        <f>E1337*C1337</f>
        <v>3155.33938571416</v>
      </c>
      <c r="G1337" s="7" t="s">
        <v>83</v>
      </c>
      <c r="H1337" s="7" t="s">
        <v>848</v>
      </c>
      <c r="I1337" s="230">
        <f>取费表!$F$7</f>
        <v>0.07</v>
      </c>
      <c r="J1337" s="274"/>
      <c r="K1337" s="274">
        <f>L1336+L1308</f>
        <v>45123.8977058418</v>
      </c>
      <c r="L1337" s="34">
        <f t="shared" si="77"/>
        <v>3158.67283940892</v>
      </c>
      <c r="M1337" s="7" t="s">
        <v>83</v>
      </c>
      <c r="N1337" s="7" t="s">
        <v>848</v>
      </c>
      <c r="O1337" s="230">
        <f>取费表!$F$7</f>
        <v>0.07</v>
      </c>
      <c r="P1337" s="274"/>
      <c r="Q1337" s="274">
        <f>R1336+R1308</f>
        <v>45688.6362363524</v>
      </c>
      <c r="R1337" s="34">
        <f t="shared" si="79"/>
        <v>3198.20453654467</v>
      </c>
    </row>
    <row r="1338" ht="14.45" customHeight="1" spans="1:18">
      <c r="A1338" s="5" t="s">
        <v>121</v>
      </c>
      <c r="B1338" s="5" t="s">
        <v>861</v>
      </c>
      <c r="C1338" s="275"/>
      <c r="D1338" s="276"/>
      <c r="E1338" s="5"/>
      <c r="F1338" s="277">
        <f>F1339+F1344</f>
        <v>9416.45193860372</v>
      </c>
      <c r="G1338" s="5" t="s">
        <v>121</v>
      </c>
      <c r="H1338" s="5" t="s">
        <v>861</v>
      </c>
      <c r="I1338" s="275"/>
      <c r="J1338" s="276"/>
      <c r="K1338" s="5"/>
      <c r="L1338" s="277">
        <f>L1339+L1344</f>
        <v>9375.27631143604</v>
      </c>
      <c r="M1338" s="5" t="s">
        <v>121</v>
      </c>
      <c r="N1338" s="5" t="s">
        <v>861</v>
      </c>
      <c r="O1338" s="275"/>
      <c r="P1338" s="276"/>
      <c r="Q1338" s="5"/>
      <c r="R1338" s="277">
        <f>R1339+R1344</f>
        <v>14306.3955466043</v>
      </c>
    </row>
    <row r="1339" ht="14.45" customHeight="1" spans="1:18">
      <c r="A1339" s="7">
        <v>1</v>
      </c>
      <c r="B1339" s="7" t="s">
        <v>1011</v>
      </c>
      <c r="C1339" s="9"/>
      <c r="D1339" s="34"/>
      <c r="E1339" s="7"/>
      <c r="F1339" s="69">
        <f>SUM(F1340:F1343)</f>
        <v>9396.82833860372</v>
      </c>
      <c r="G1339" s="7">
        <v>1</v>
      </c>
      <c r="H1339" s="7" t="s">
        <v>1011</v>
      </c>
      <c r="I1339" s="9"/>
      <c r="J1339" s="34"/>
      <c r="K1339" s="7"/>
      <c r="L1339" s="69">
        <f>SUM(L1340:L1343)</f>
        <v>9355.65271143604</v>
      </c>
      <c r="M1339" s="7">
        <v>1</v>
      </c>
      <c r="N1339" s="7" t="s">
        <v>1011</v>
      </c>
      <c r="O1339" s="9"/>
      <c r="P1339" s="34"/>
      <c r="Q1339" s="7"/>
      <c r="R1339" s="69">
        <f>SUM(R1340:R1343)</f>
        <v>14286.7719466043</v>
      </c>
    </row>
    <row r="1340" ht="14.45" customHeight="1" spans="1:18">
      <c r="A1340" s="7"/>
      <c r="B1340" s="7"/>
      <c r="C1340" s="7"/>
      <c r="D1340" s="34"/>
      <c r="E1340" s="34"/>
      <c r="F1340" s="69"/>
      <c r="G1340" s="7"/>
      <c r="H1340" s="7"/>
      <c r="I1340" s="7"/>
      <c r="J1340" s="34"/>
      <c r="K1340" s="34"/>
      <c r="L1340" s="69"/>
      <c r="M1340" s="7"/>
      <c r="N1340" s="7"/>
      <c r="O1340" s="7"/>
      <c r="P1340" s="34"/>
      <c r="Q1340" s="34"/>
      <c r="R1340" s="69"/>
    </row>
    <row r="1341" ht="14.45" customHeight="1" spans="1:18">
      <c r="A1341" s="7"/>
      <c r="B1341" s="7" t="s">
        <v>979</v>
      </c>
      <c r="C1341" s="7" t="s">
        <v>200</v>
      </c>
      <c r="D1341" s="34">
        <f>材料预算价!K5-材料预算价!L5</f>
        <v>141.58936</v>
      </c>
      <c r="E1341" s="34">
        <f>E1320*配合比!E9</f>
        <v>35.641914</v>
      </c>
      <c r="F1341" s="69">
        <f>D1341*E1341</f>
        <v>5046.51579243504</v>
      </c>
      <c r="G1341" s="7"/>
      <c r="H1341" s="7" t="s">
        <v>979</v>
      </c>
      <c r="I1341" s="7" t="s">
        <v>200</v>
      </c>
      <c r="J1341" s="34">
        <f>D1341</f>
        <v>141.58936</v>
      </c>
      <c r="K1341" s="34">
        <f>K1320*配合比!E10</f>
        <v>35.035759</v>
      </c>
      <c r="L1341" s="69">
        <f t="shared" ref="L1341:L1343" si="80">J1341*K1341</f>
        <v>4960.69069392424</v>
      </c>
      <c r="M1341" s="7"/>
      <c r="N1341" s="7" t="s">
        <v>979</v>
      </c>
      <c r="O1341" s="7" t="s">
        <v>200</v>
      </c>
      <c r="P1341" s="34">
        <f>材料预算价!K6-材料预算价!L6</f>
        <v>265.23946</v>
      </c>
      <c r="Q1341" s="34">
        <f>Q1320*配合比!E11</f>
        <v>37.58161</v>
      </c>
      <c r="R1341" s="69">
        <f t="shared" ref="R1341:R1343" si="81">P1341*Q1341</f>
        <v>9968.1259423306</v>
      </c>
    </row>
    <row r="1342" ht="14.45" customHeight="1" spans="1:18">
      <c r="A1342" s="7"/>
      <c r="B1342" s="7" t="s">
        <v>961</v>
      </c>
      <c r="C1342" s="7" t="s">
        <v>169</v>
      </c>
      <c r="D1342" s="34">
        <f>D1157</f>
        <v>34.366056</v>
      </c>
      <c r="E1342" s="34">
        <f>E1320*配合比!G9</f>
        <v>62.17904</v>
      </c>
      <c r="F1342" s="69">
        <f>D1342*E1342</f>
        <v>2136.84837066624</v>
      </c>
      <c r="G1342" s="7"/>
      <c r="H1342" s="7" t="s">
        <v>961</v>
      </c>
      <c r="I1342" s="7" t="s">
        <v>169</v>
      </c>
      <c r="J1342" s="34">
        <f>D1342</f>
        <v>34.366056</v>
      </c>
      <c r="K1342" s="34">
        <f>K1320*配合比!G10</f>
        <v>54.40666</v>
      </c>
      <c r="L1342" s="69">
        <f t="shared" si="80"/>
        <v>1869.74232433296</v>
      </c>
      <c r="M1342" s="7"/>
      <c r="N1342" s="7" t="s">
        <v>961</v>
      </c>
      <c r="O1342" s="7" t="s">
        <v>169</v>
      </c>
      <c r="P1342" s="34">
        <f>J1342</f>
        <v>34.366056</v>
      </c>
      <c r="Q1342" s="34">
        <f>Q1320*配合比!G11</f>
        <v>52.18598</v>
      </c>
      <c r="R1342" s="69">
        <f t="shared" si="81"/>
        <v>1793.42631109488</v>
      </c>
    </row>
    <row r="1343" ht="14.45" customHeight="1" spans="1:18">
      <c r="A1343" s="7"/>
      <c r="B1343" s="7" t="s">
        <v>1012</v>
      </c>
      <c r="C1343" s="7" t="s">
        <v>169</v>
      </c>
      <c r="D1343" s="34">
        <f>材料预算价!K8-材料预算价!L8</f>
        <v>29.13701</v>
      </c>
      <c r="E1343" s="34">
        <f>E1320*配合比!I9</f>
        <v>75.967444</v>
      </c>
      <c r="F1343" s="69">
        <f>D1343*E1343</f>
        <v>2213.46417550244</v>
      </c>
      <c r="G1343" s="7"/>
      <c r="H1343" s="7" t="s">
        <v>1012</v>
      </c>
      <c r="I1343" s="7" t="s">
        <v>169</v>
      </c>
      <c r="J1343" s="34">
        <f>D1343</f>
        <v>29.13701</v>
      </c>
      <c r="K1343" s="34">
        <f>K1320*配合比!I10</f>
        <v>86.667084</v>
      </c>
      <c r="L1343" s="69">
        <f t="shared" si="80"/>
        <v>2525.21969317884</v>
      </c>
      <c r="M1343" s="7"/>
      <c r="N1343" s="7" t="s">
        <v>1012</v>
      </c>
      <c r="O1343" s="7" t="s">
        <v>169</v>
      </c>
      <c r="P1343" s="34">
        <f>J1343</f>
        <v>29.13701</v>
      </c>
      <c r="Q1343" s="34">
        <f>Q1320*配合比!I11</f>
        <v>86.667084</v>
      </c>
      <c r="R1343" s="69">
        <f t="shared" si="81"/>
        <v>2525.21969317884</v>
      </c>
    </row>
    <row r="1344" ht="14.45" customHeight="1" spans="1:18">
      <c r="A1344" s="7">
        <v>2</v>
      </c>
      <c r="B1344" s="7" t="s">
        <v>1013</v>
      </c>
      <c r="C1344" s="7"/>
      <c r="D1344" s="34"/>
      <c r="E1344" s="38"/>
      <c r="F1344" s="69">
        <f>SUM(F1345:F1346)</f>
        <v>19.6236</v>
      </c>
      <c r="G1344" s="7">
        <v>2</v>
      </c>
      <c r="H1344" s="7" t="s">
        <v>1013</v>
      </c>
      <c r="I1344" s="7"/>
      <c r="J1344" s="34"/>
      <c r="K1344" s="38"/>
      <c r="L1344" s="69">
        <f>SUM(L1345:L1346)</f>
        <v>19.6236</v>
      </c>
      <c r="M1344" s="7">
        <v>2</v>
      </c>
      <c r="N1344" s="7" t="s">
        <v>1013</v>
      </c>
      <c r="O1344" s="7"/>
      <c r="P1344" s="34"/>
      <c r="Q1344" s="38"/>
      <c r="R1344" s="69">
        <f>SUM(R1345:R1346)</f>
        <v>19.6236</v>
      </c>
    </row>
    <row r="1345" ht="14.45" customHeight="1" spans="1:18">
      <c r="A1345" s="7"/>
      <c r="B1345" s="7" t="s">
        <v>1014</v>
      </c>
      <c r="C1345" s="7" t="s">
        <v>863</v>
      </c>
      <c r="D1345" s="34">
        <f>材料预算价!K12-材料预算价!L12</f>
        <v>5.925</v>
      </c>
      <c r="E1345" s="38">
        <f>(E1324*7.2+E1325*5.8)</f>
        <v>3.312</v>
      </c>
      <c r="F1345" s="69">
        <f>D1345*E1345</f>
        <v>19.6236</v>
      </c>
      <c r="G1345" s="7"/>
      <c r="H1345" s="7" t="s">
        <v>1014</v>
      </c>
      <c r="I1345" s="7" t="s">
        <v>863</v>
      </c>
      <c r="J1345" s="34">
        <f>D1345</f>
        <v>5.925</v>
      </c>
      <c r="K1345" s="38">
        <f>(K1324*7.2+K1325*5.8)</f>
        <v>3.312</v>
      </c>
      <c r="L1345" s="69">
        <f>J1345*K1345</f>
        <v>19.6236</v>
      </c>
      <c r="M1345" s="7"/>
      <c r="N1345" s="7" t="s">
        <v>1014</v>
      </c>
      <c r="O1345" s="7" t="s">
        <v>863</v>
      </c>
      <c r="P1345" s="34">
        <f>J1345</f>
        <v>5.925</v>
      </c>
      <c r="Q1345" s="38">
        <f>(Q1324*7.2+Q1325*5.8)</f>
        <v>3.312</v>
      </c>
      <c r="R1345" s="69">
        <f>P1345*Q1345</f>
        <v>19.6236</v>
      </c>
    </row>
    <row r="1346" ht="14.45" customHeight="1" spans="1:18">
      <c r="A1346" s="7"/>
      <c r="B1346" s="7" t="s">
        <v>862</v>
      </c>
      <c r="C1346" s="7" t="s">
        <v>863</v>
      </c>
      <c r="D1346" s="34">
        <f>材料预算价!K11-材料预算价!L11</f>
        <v>4.58</v>
      </c>
      <c r="E1346" s="38"/>
      <c r="F1346" s="69">
        <f>D1346*E1346</f>
        <v>0</v>
      </c>
      <c r="G1346" s="7"/>
      <c r="H1346" s="7" t="s">
        <v>862</v>
      </c>
      <c r="I1346" s="7" t="s">
        <v>863</v>
      </c>
      <c r="J1346" s="34">
        <f>D1346</f>
        <v>4.58</v>
      </c>
      <c r="K1346" s="38"/>
      <c r="L1346" s="69">
        <f>J1346*K1346</f>
        <v>0</v>
      </c>
      <c r="M1346" s="7"/>
      <c r="N1346" s="7" t="s">
        <v>862</v>
      </c>
      <c r="O1346" s="7" t="s">
        <v>863</v>
      </c>
      <c r="P1346" s="34">
        <f>J1346</f>
        <v>4.58</v>
      </c>
      <c r="Q1346" s="38"/>
      <c r="R1346" s="69">
        <f>P1346*Q1346</f>
        <v>0</v>
      </c>
    </row>
    <row r="1347" ht="14.45" customHeight="1" spans="1:18">
      <c r="A1347" s="7" t="s">
        <v>135</v>
      </c>
      <c r="B1347" s="7" t="s">
        <v>849</v>
      </c>
      <c r="C1347" s="231">
        <f>C1162</f>
        <v>0.09</v>
      </c>
      <c r="D1347" s="34"/>
      <c r="E1347" s="34">
        <f>F1338+F1337+F1336+F1308</f>
        <v>57648.0682630915</v>
      </c>
      <c r="F1347" s="34">
        <f>E1347*C1347</f>
        <v>5188.32614367824</v>
      </c>
      <c r="G1347" s="7" t="s">
        <v>135</v>
      </c>
      <c r="H1347" s="7" t="s">
        <v>849</v>
      </c>
      <c r="I1347" s="231">
        <f>C1347</f>
        <v>0.09</v>
      </c>
      <c r="J1347" s="34"/>
      <c r="K1347" s="34">
        <f>L1338+L1337+L1336+L1308</f>
        <v>57657.8468566867</v>
      </c>
      <c r="L1347" s="34">
        <f>K1347*I1347</f>
        <v>5189.20621710181</v>
      </c>
      <c r="M1347" s="7" t="s">
        <v>135</v>
      </c>
      <c r="N1347" s="7" t="s">
        <v>849</v>
      </c>
      <c r="O1347" s="231">
        <f>I1347</f>
        <v>0.09</v>
      </c>
      <c r="P1347" s="34"/>
      <c r="Q1347" s="34">
        <f>R1338+R1337+R1336+R1308</f>
        <v>63193.2363195014</v>
      </c>
      <c r="R1347" s="34">
        <f>Q1347*O1347</f>
        <v>5687.39126875512</v>
      </c>
    </row>
    <row r="1348" ht="14.45" customHeight="1" spans="1:18">
      <c r="A1348" s="7"/>
      <c r="B1348" s="7" t="s">
        <v>850</v>
      </c>
      <c r="C1348" s="231"/>
      <c r="D1348" s="34"/>
      <c r="E1348" s="34"/>
      <c r="F1348" s="34">
        <f>(F1308+F1336+F1337+F1338+F1347)*取费表!H4</f>
        <v>1885.09183220309</v>
      </c>
      <c r="G1348" s="7"/>
      <c r="H1348" s="7" t="s">
        <v>850</v>
      </c>
      <c r="I1348" s="231"/>
      <c r="J1348" s="34"/>
      <c r="K1348" s="34"/>
      <c r="L1348" s="34">
        <f>(L1308+L1336+L1337+L1338+L1347)*取费表!H7</f>
        <v>1885.41159221366</v>
      </c>
      <c r="M1348" s="7"/>
      <c r="N1348" s="7" t="s">
        <v>850</v>
      </c>
      <c r="O1348" s="231"/>
      <c r="P1348" s="34"/>
      <c r="Q1348" s="34"/>
      <c r="R1348" s="34">
        <f>(R1308+R1336+R1337+R1338+R1347)*取费表!H7</f>
        <v>2066.41882764769</v>
      </c>
    </row>
    <row r="1349" ht="17.25" customHeight="1" spans="1:18">
      <c r="A1349" s="7"/>
      <c r="B1349" s="7" t="s">
        <v>156</v>
      </c>
      <c r="C1349" s="7"/>
      <c r="D1349" s="34"/>
      <c r="E1349" s="34"/>
      <c r="F1349" s="34">
        <f>F1347+E1347+F1348</f>
        <v>64721.4862389729</v>
      </c>
      <c r="G1349" s="7"/>
      <c r="H1349" s="7" t="s">
        <v>156</v>
      </c>
      <c r="I1349" s="7"/>
      <c r="J1349" s="34"/>
      <c r="K1349" s="34"/>
      <c r="L1349" s="34">
        <f>L1347+K1347+L1348</f>
        <v>64732.4646660022</v>
      </c>
      <c r="M1349" s="7"/>
      <c r="N1349" s="7" t="s">
        <v>156</v>
      </c>
      <c r="O1349" s="7"/>
      <c r="P1349" s="34"/>
      <c r="Q1349" s="34"/>
      <c r="R1349" s="34">
        <f>R1347+Q1347+R1348</f>
        <v>70947.0464159042</v>
      </c>
    </row>
    <row r="1350" ht="15" customHeight="1" spans="1:6">
      <c r="A1350" s="236" t="s">
        <v>828</v>
      </c>
      <c r="B1350" s="236"/>
      <c r="C1350" s="236"/>
      <c r="D1350" s="236"/>
      <c r="E1350" s="236"/>
      <c r="F1350" s="236"/>
    </row>
    <row r="1351" ht="15" customHeight="1" spans="1:6">
      <c r="A1351" s="278" t="s">
        <v>1031</v>
      </c>
      <c r="B1351" s="272"/>
      <c r="C1351" s="272"/>
      <c r="D1351" s="272"/>
      <c r="E1351" s="272"/>
      <c r="F1351" s="272"/>
    </row>
    <row r="1352" ht="15" customHeight="1" spans="1:6">
      <c r="A1352" s="228" t="s">
        <v>1032</v>
      </c>
      <c r="B1352" s="228"/>
      <c r="C1352" s="229"/>
      <c r="D1352" s="229"/>
      <c r="E1352" s="228" t="s">
        <v>832</v>
      </c>
      <c r="F1352" s="228"/>
    </row>
    <row r="1353" ht="15" customHeight="1" spans="1:6">
      <c r="A1353" s="146" t="s">
        <v>911</v>
      </c>
      <c r="B1353" s="233"/>
      <c r="C1353" s="233"/>
      <c r="D1353" s="233"/>
      <c r="E1353" s="233"/>
      <c r="F1353" s="147"/>
    </row>
    <row r="1354" ht="15" customHeight="1" spans="1:6">
      <c r="A1354" s="7" t="s">
        <v>104</v>
      </c>
      <c r="B1354" s="7" t="s">
        <v>835</v>
      </c>
      <c r="C1354" s="7" t="s">
        <v>159</v>
      </c>
      <c r="D1354" s="7" t="s">
        <v>422</v>
      </c>
      <c r="E1354" s="7" t="s">
        <v>160</v>
      </c>
      <c r="F1354" s="7" t="s">
        <v>18</v>
      </c>
    </row>
    <row r="1355" ht="15" customHeight="1" spans="1:6">
      <c r="A1355" s="7" t="s">
        <v>836</v>
      </c>
      <c r="B1355" s="7" t="s">
        <v>837</v>
      </c>
      <c r="C1355" s="7"/>
      <c r="D1355" s="7"/>
      <c r="E1355" s="7"/>
      <c r="F1355" s="34">
        <f>F1356+F1380+F1381</f>
        <v>34989.0838676158</v>
      </c>
    </row>
    <row r="1356" ht="15" customHeight="1" spans="1:6">
      <c r="A1356" s="7" t="s">
        <v>539</v>
      </c>
      <c r="B1356" s="7" t="s">
        <v>838</v>
      </c>
      <c r="C1356" s="7"/>
      <c r="D1356" s="7"/>
      <c r="E1356" s="7"/>
      <c r="F1356" s="34">
        <f>F1357+F1360+F1370+F1377</f>
        <v>33386.5304080303</v>
      </c>
    </row>
    <row r="1357" ht="15" customHeight="1" spans="1:6">
      <c r="A1357" s="7">
        <v>1</v>
      </c>
      <c r="B1357" s="7" t="s">
        <v>839</v>
      </c>
      <c r="C1357" s="7" t="s">
        <v>840</v>
      </c>
      <c r="D1357" s="34"/>
      <c r="E1357" s="42">
        <f>SUM(E1358:E1359)</f>
        <v>1106</v>
      </c>
      <c r="F1357" s="69">
        <f>SUM(F1358:F1359)</f>
        <v>8252.5168</v>
      </c>
    </row>
    <row r="1358" ht="15" customHeight="1" spans="1:6">
      <c r="A1358" s="7"/>
      <c r="B1358" s="7" t="s">
        <v>841</v>
      </c>
      <c r="C1358" s="7" t="s">
        <v>840</v>
      </c>
      <c r="D1358" s="69">
        <f>D1311</f>
        <v>8.1</v>
      </c>
      <c r="E1358" s="42">
        <f>1003.7*0.8</f>
        <v>802.96</v>
      </c>
      <c r="F1358" s="69">
        <f>D1358*E1358</f>
        <v>6503.976</v>
      </c>
    </row>
    <row r="1359" ht="15" customHeight="1" spans="1:6">
      <c r="A1359" s="7"/>
      <c r="B1359" s="7" t="s">
        <v>842</v>
      </c>
      <c r="C1359" s="7" t="s">
        <v>840</v>
      </c>
      <c r="D1359" s="69">
        <f>D1312</f>
        <v>5.77</v>
      </c>
      <c r="E1359" s="42">
        <f>378.8*0.8</f>
        <v>303.04</v>
      </c>
      <c r="F1359" s="69">
        <f>D1359*E1359</f>
        <v>1748.5408</v>
      </c>
    </row>
    <row r="1360" ht="15" customHeight="1" spans="1:6">
      <c r="A1360" s="7">
        <v>2</v>
      </c>
      <c r="B1360" s="7" t="s">
        <v>912</v>
      </c>
      <c r="C1360" s="7"/>
      <c r="D1360" s="34"/>
      <c r="E1360" s="34"/>
      <c r="F1360" s="34">
        <f>SUM(F1361:F1369)</f>
        <v>22339.253453775</v>
      </c>
    </row>
    <row r="1361" ht="15" customHeight="1" spans="1:6">
      <c r="A1361" s="7"/>
      <c r="B1361" s="273" t="s">
        <v>996</v>
      </c>
      <c r="C1361" s="273" t="s">
        <v>169</v>
      </c>
      <c r="D1361" s="34">
        <f>D1314</f>
        <v>2238.008025</v>
      </c>
      <c r="E1361" s="34">
        <v>0.71</v>
      </c>
      <c r="F1361" s="34">
        <f t="shared" ref="F1361:F1368" si="82">D1361*E1361</f>
        <v>1588.98569775</v>
      </c>
    </row>
    <row r="1362" ht="15" customHeight="1" spans="1:6">
      <c r="A1362" s="7"/>
      <c r="B1362" s="273" t="s">
        <v>997</v>
      </c>
      <c r="C1362" s="273" t="s">
        <v>863</v>
      </c>
      <c r="D1362" s="34">
        <f>基础材料表!D34</f>
        <v>4.44</v>
      </c>
      <c r="E1362" s="34">
        <v>68.86</v>
      </c>
      <c r="F1362" s="34">
        <f t="shared" si="82"/>
        <v>305.7384</v>
      </c>
    </row>
    <row r="1363" ht="15" customHeight="1" spans="1:6">
      <c r="A1363" s="7"/>
      <c r="B1363" s="273" t="s">
        <v>998</v>
      </c>
      <c r="C1363" s="273" t="s">
        <v>863</v>
      </c>
      <c r="D1363" s="34">
        <f>基础材料表!D30</f>
        <v>4.5</v>
      </c>
      <c r="E1363" s="34">
        <v>36.77</v>
      </c>
      <c r="F1363" s="34">
        <f t="shared" si="82"/>
        <v>165.465</v>
      </c>
    </row>
    <row r="1364" ht="15" customHeight="1" spans="1:6">
      <c r="A1364" s="7"/>
      <c r="B1364" s="273" t="s">
        <v>999</v>
      </c>
      <c r="C1364" s="273" t="s">
        <v>863</v>
      </c>
      <c r="D1364" s="34">
        <f>基础材料表!D16</f>
        <v>5.15</v>
      </c>
      <c r="E1364" s="34">
        <v>30.87</v>
      </c>
      <c r="F1364" s="34">
        <f t="shared" si="82"/>
        <v>158.9805</v>
      </c>
    </row>
    <row r="1365" ht="15" customHeight="1" spans="1:6">
      <c r="A1365" s="7"/>
      <c r="B1365" s="273" t="s">
        <v>1000</v>
      </c>
      <c r="C1365" s="273" t="s">
        <v>863</v>
      </c>
      <c r="D1365" s="34">
        <f>基础材料表!D28</f>
        <v>4.5</v>
      </c>
      <c r="E1365" s="34">
        <v>273.78</v>
      </c>
      <c r="F1365" s="34">
        <f t="shared" si="82"/>
        <v>1232.01</v>
      </c>
    </row>
    <row r="1366" ht="15" customHeight="1" spans="1:6">
      <c r="A1366" s="7"/>
      <c r="B1366" s="273" t="s">
        <v>1002</v>
      </c>
      <c r="C1366" s="273" t="s">
        <v>863</v>
      </c>
      <c r="D1366" s="34">
        <f>基础材料表!D5</f>
        <v>5.97</v>
      </c>
      <c r="E1366" s="34">
        <v>5.75</v>
      </c>
      <c r="F1366" s="34">
        <f t="shared" si="82"/>
        <v>34.3275</v>
      </c>
    </row>
    <row r="1367" ht="15" customHeight="1" spans="1:6">
      <c r="A1367" s="7"/>
      <c r="B1367" s="7" t="s">
        <v>1003</v>
      </c>
      <c r="C1367" s="7" t="s">
        <v>169</v>
      </c>
      <c r="D1367" s="34">
        <f>配合比!M8</f>
        <v>176.3536095</v>
      </c>
      <c r="E1367" s="34">
        <v>103</v>
      </c>
      <c r="F1367" s="34">
        <f t="shared" si="82"/>
        <v>18164.4217785</v>
      </c>
    </row>
    <row r="1368" ht="15" customHeight="1" spans="1:6">
      <c r="A1368" s="7"/>
      <c r="B1368" s="7" t="s">
        <v>913</v>
      </c>
      <c r="C1368" s="7" t="s">
        <v>169</v>
      </c>
      <c r="D1368" s="34">
        <f>D1321</f>
        <v>3.59</v>
      </c>
      <c r="E1368" s="34">
        <v>70</v>
      </c>
      <c r="F1368" s="34">
        <f t="shared" si="82"/>
        <v>251.3</v>
      </c>
    </row>
    <row r="1369" ht="15" customHeight="1" spans="1:6">
      <c r="A1369" s="7"/>
      <c r="B1369" s="7" t="s">
        <v>1004</v>
      </c>
      <c r="C1369" s="9" t="s">
        <v>845</v>
      </c>
      <c r="D1369" s="34">
        <f>SUM(F1361:F1368)</f>
        <v>21901.22887625</v>
      </c>
      <c r="E1369" s="34">
        <v>2</v>
      </c>
      <c r="F1369" s="34">
        <f>D1369*E1369/100</f>
        <v>438.024577525</v>
      </c>
    </row>
    <row r="1370" ht="15" customHeight="1" spans="1:6">
      <c r="A1370" s="7">
        <v>3</v>
      </c>
      <c r="B1370" s="7" t="s">
        <v>859</v>
      </c>
      <c r="C1370" s="7"/>
      <c r="D1370" s="34"/>
      <c r="E1370" s="34"/>
      <c r="F1370" s="34">
        <f>SUM(F1371:F1376)</f>
        <v>803.103962867172</v>
      </c>
    </row>
    <row r="1371" ht="15" customHeight="1" spans="1:6">
      <c r="A1371" s="7"/>
      <c r="B1371" s="7" t="s">
        <v>1005</v>
      </c>
      <c r="C1371" s="7" t="s">
        <v>428</v>
      </c>
      <c r="D1371" s="34">
        <f>D1324</f>
        <v>49.389824491424</v>
      </c>
      <c r="E1371" s="34">
        <v>0.29</v>
      </c>
      <c r="F1371" s="34">
        <f>D1371*E1371</f>
        <v>14.323049102513</v>
      </c>
    </row>
    <row r="1372" ht="15" customHeight="1" spans="1:6">
      <c r="A1372" s="7"/>
      <c r="B1372" s="7" t="s">
        <v>1007</v>
      </c>
      <c r="C1372" s="7" t="s">
        <v>428</v>
      </c>
      <c r="D1372" s="34">
        <f>D1326</f>
        <v>8.3371858795373</v>
      </c>
      <c r="E1372" s="251">
        <v>8.59</v>
      </c>
      <c r="F1372" s="34">
        <f>D1372*E1372</f>
        <v>71.6164267052254</v>
      </c>
    </row>
    <row r="1373" ht="15" customHeight="1" spans="1:6">
      <c r="A1373" s="7"/>
      <c r="B1373" s="7" t="s">
        <v>1008</v>
      </c>
      <c r="C1373" s="7" t="s">
        <v>428</v>
      </c>
      <c r="D1373" s="34">
        <f>D1327</f>
        <v>23.9179521340247</v>
      </c>
      <c r="E1373" s="34">
        <v>18.54</v>
      </c>
      <c r="F1373" s="34">
        <f>D1373*E1373</f>
        <v>443.438832564818</v>
      </c>
    </row>
    <row r="1374" ht="15" customHeight="1" spans="1:6">
      <c r="A1374" s="7"/>
      <c r="B1374" s="7" t="s">
        <v>1021</v>
      </c>
      <c r="C1374" s="7" t="s">
        <v>428</v>
      </c>
      <c r="D1374" s="34">
        <f>D1328</f>
        <v>2.41252772237734</v>
      </c>
      <c r="E1374" s="34">
        <v>30</v>
      </c>
      <c r="F1374" s="34">
        <f>D1374*E1374</f>
        <v>72.3758316713203</v>
      </c>
    </row>
    <row r="1375" ht="15" customHeight="1" spans="1:6">
      <c r="A1375" s="7"/>
      <c r="B1375" s="7" t="s">
        <v>967</v>
      </c>
      <c r="C1375" s="7" t="s">
        <v>428</v>
      </c>
      <c r="D1375" s="34">
        <f>D1329</f>
        <v>0.813242919824491</v>
      </c>
      <c r="E1375" s="34">
        <v>83</v>
      </c>
      <c r="F1375" s="34">
        <f>D1375*E1375</f>
        <v>67.4991623454328</v>
      </c>
    </row>
    <row r="1376" ht="15" customHeight="1" spans="1:6">
      <c r="A1376" s="7"/>
      <c r="B1376" s="7" t="s">
        <v>918</v>
      </c>
      <c r="C1376" s="9" t="s">
        <v>845</v>
      </c>
      <c r="D1376" s="34">
        <f>SUM(F1371:F1375)</f>
        <v>669.25330238931</v>
      </c>
      <c r="E1376" s="247">
        <v>20</v>
      </c>
      <c r="F1376" s="34">
        <f>D1376*E1376/100</f>
        <v>133.850660477862</v>
      </c>
    </row>
    <row r="1377" ht="15" customHeight="1" spans="1:6">
      <c r="A1377" s="5">
        <v>4</v>
      </c>
      <c r="B1377" s="5" t="s">
        <v>1010</v>
      </c>
      <c r="C1377" s="275"/>
      <c r="D1377" s="276"/>
      <c r="E1377" s="276"/>
      <c r="F1377" s="276">
        <f>SUM(F1378:F1379)</f>
        <v>1991.65619138815</v>
      </c>
    </row>
    <row r="1378" ht="15" customHeight="1" spans="1:6">
      <c r="A1378" s="7"/>
      <c r="B1378" s="123" t="s">
        <v>681</v>
      </c>
      <c r="C1378" s="123" t="s">
        <v>169</v>
      </c>
      <c r="D1378" s="274">
        <f>$F$2795/100</f>
        <v>5.03319379720782</v>
      </c>
      <c r="E1378" s="274">
        <v>103</v>
      </c>
      <c r="F1378" s="34">
        <f>D1378*E1378</f>
        <v>518.418961112405</v>
      </c>
    </row>
    <row r="1379" ht="15" customHeight="1" spans="1:6">
      <c r="A1379" s="7"/>
      <c r="B1379" s="123" t="s">
        <v>682</v>
      </c>
      <c r="C1379" s="123" t="s">
        <v>169</v>
      </c>
      <c r="D1379" s="274">
        <f>$F$2813/100</f>
        <v>14.303274080347</v>
      </c>
      <c r="E1379" s="274">
        <v>103</v>
      </c>
      <c r="F1379" s="34">
        <f>D1379*E1379</f>
        <v>1473.23723027574</v>
      </c>
    </row>
    <row r="1380" ht="15" customHeight="1" spans="1:6">
      <c r="A1380" s="7" t="s">
        <v>564</v>
      </c>
      <c r="B1380" s="7" t="s">
        <v>846</v>
      </c>
      <c r="C1380" s="230">
        <f>取费表!$C$7</f>
        <v>0.048</v>
      </c>
      <c r="D1380" s="274"/>
      <c r="E1380" s="274">
        <f>F1356</f>
        <v>33386.5304080303</v>
      </c>
      <c r="F1380" s="34">
        <f>E1380*C1380</f>
        <v>1602.55345958546</v>
      </c>
    </row>
    <row r="1381" ht="15" customHeight="1" spans="1:6">
      <c r="A1381" s="7"/>
      <c r="B1381" s="7"/>
      <c r="C1381" s="230"/>
      <c r="D1381" s="274"/>
      <c r="E1381" s="274"/>
      <c r="F1381" s="34"/>
    </row>
    <row r="1382" ht="15" customHeight="1" spans="1:6">
      <c r="A1382" s="7" t="s">
        <v>439</v>
      </c>
      <c r="B1382" s="7" t="s">
        <v>847</v>
      </c>
      <c r="C1382" s="230">
        <f>取费表!$E$7</f>
        <v>0.07</v>
      </c>
      <c r="D1382" s="274"/>
      <c r="E1382" s="274">
        <f>F1355</f>
        <v>34989.0838676158</v>
      </c>
      <c r="F1382" s="34">
        <f>E1382*C1382</f>
        <v>2449.23587073311</v>
      </c>
    </row>
    <row r="1383" ht="15" customHeight="1" spans="1:6">
      <c r="A1383" s="7" t="s">
        <v>83</v>
      </c>
      <c r="B1383" s="7" t="s">
        <v>848</v>
      </c>
      <c r="C1383" s="230">
        <f>取费表!$F$7</f>
        <v>0.07</v>
      </c>
      <c r="D1383" s="274"/>
      <c r="E1383" s="274">
        <f>F1382+F1355</f>
        <v>37438.3197383489</v>
      </c>
      <c r="F1383" s="34">
        <f>E1383*C1383</f>
        <v>2620.68238168442</v>
      </c>
    </row>
    <row r="1384" ht="15" customHeight="1" spans="1:6">
      <c r="A1384" s="5" t="s">
        <v>121</v>
      </c>
      <c r="B1384" s="5" t="s">
        <v>861</v>
      </c>
      <c r="C1384" s="275"/>
      <c r="D1384" s="276"/>
      <c r="E1384" s="5"/>
      <c r="F1384" s="277">
        <f>F1385+F1390</f>
        <v>8963.71957301364</v>
      </c>
    </row>
    <row r="1385" ht="15" customHeight="1" spans="1:6">
      <c r="A1385" s="7">
        <v>1</v>
      </c>
      <c r="B1385" s="7" t="s">
        <v>1011</v>
      </c>
      <c r="C1385" s="9"/>
      <c r="D1385" s="34"/>
      <c r="E1385" s="7"/>
      <c r="F1385" s="69">
        <f>SUM(F1386:F1389)</f>
        <v>8951.34817301364</v>
      </c>
    </row>
    <row r="1386" ht="15" customHeight="1" spans="1:6">
      <c r="A1386" s="7"/>
      <c r="B1386" s="7"/>
      <c r="C1386" s="7"/>
      <c r="D1386" s="34"/>
      <c r="E1386" s="34"/>
      <c r="F1386" s="69"/>
    </row>
    <row r="1387" ht="15" customHeight="1" spans="1:6">
      <c r="A1387" s="7"/>
      <c r="B1387" s="7" t="s">
        <v>979</v>
      </c>
      <c r="C1387" s="7" t="s">
        <v>200</v>
      </c>
      <c r="D1387" s="34">
        <f>D1110</f>
        <v>141.58936</v>
      </c>
      <c r="E1387" s="34">
        <f>E1367*配合比!E8</f>
        <v>31.641291</v>
      </c>
      <c r="F1387" s="69">
        <f>D1387*E1387</f>
        <v>4480.07014226376</v>
      </c>
    </row>
    <row r="1388" ht="15" customHeight="1" spans="1:6">
      <c r="A1388" s="7"/>
      <c r="B1388" s="7" t="s">
        <v>961</v>
      </c>
      <c r="C1388" s="7" t="s">
        <v>169</v>
      </c>
      <c r="D1388" s="34">
        <f>D1342</f>
        <v>34.366056</v>
      </c>
      <c r="E1388" s="34">
        <f>E1367*配合比!G8</f>
        <v>56.62734</v>
      </c>
      <c r="F1388" s="69">
        <f>D1388*E1388</f>
        <v>1946.05833757104</v>
      </c>
    </row>
    <row r="1389" ht="15" customHeight="1" spans="1:6">
      <c r="A1389" s="7"/>
      <c r="B1389" s="7" t="s">
        <v>1012</v>
      </c>
      <c r="C1389" s="7" t="s">
        <v>169</v>
      </c>
      <c r="D1389" s="34">
        <f>D1343</f>
        <v>29.13701</v>
      </c>
      <c r="E1389" s="34">
        <f>E1367*配合比!I8</f>
        <v>86.667084</v>
      </c>
      <c r="F1389" s="69">
        <f>D1389*E1389</f>
        <v>2525.21969317884</v>
      </c>
    </row>
    <row r="1390" ht="15" customHeight="1" spans="1:6">
      <c r="A1390" s="7">
        <v>2</v>
      </c>
      <c r="B1390" s="7" t="s">
        <v>1013</v>
      </c>
      <c r="C1390" s="7"/>
      <c r="D1390" s="34"/>
      <c r="E1390" s="38"/>
      <c r="F1390" s="69">
        <f>SUM(F1391:F1392)</f>
        <v>12.3714</v>
      </c>
    </row>
    <row r="1391" ht="15" customHeight="1" spans="1:6">
      <c r="A1391" s="7"/>
      <c r="B1391" s="7" t="s">
        <v>1014</v>
      </c>
      <c r="C1391" s="7" t="s">
        <v>863</v>
      </c>
      <c r="D1391" s="34">
        <f>D1345</f>
        <v>5.925</v>
      </c>
      <c r="E1391" s="38">
        <f>(E1371*7.2)</f>
        <v>2.088</v>
      </c>
      <c r="F1391" s="69">
        <f>D1391*E1391</f>
        <v>12.3714</v>
      </c>
    </row>
    <row r="1392" ht="15" customHeight="1" spans="1:6">
      <c r="A1392" s="7"/>
      <c r="B1392" s="7" t="s">
        <v>862</v>
      </c>
      <c r="C1392" s="7" t="s">
        <v>863</v>
      </c>
      <c r="D1392" s="34">
        <f>D1346</f>
        <v>4.58</v>
      </c>
      <c r="E1392" s="38"/>
      <c r="F1392" s="69">
        <f>D1392*E1392</f>
        <v>0</v>
      </c>
    </row>
    <row r="1393" ht="15" customHeight="1" spans="1:6">
      <c r="A1393" s="7" t="s">
        <v>135</v>
      </c>
      <c r="B1393" s="7" t="s">
        <v>849</v>
      </c>
      <c r="C1393" s="231">
        <f>C1347</f>
        <v>0.09</v>
      </c>
      <c r="D1393" s="34"/>
      <c r="E1393" s="34">
        <f>F1384+F1383+F1382+F1355</f>
        <v>49022.721693047</v>
      </c>
      <c r="F1393" s="34">
        <f>E1393*C1393</f>
        <v>4412.04495237423</v>
      </c>
    </row>
    <row r="1394" ht="15" customHeight="1" spans="1:6">
      <c r="A1394" s="7"/>
      <c r="B1394" s="7" t="s">
        <v>850</v>
      </c>
      <c r="C1394" s="231"/>
      <c r="D1394" s="34"/>
      <c r="E1394" s="34"/>
      <c r="F1394" s="34">
        <f>(F1355+F1382+F1383+F1384+F1393)*取费表!H4</f>
        <v>1603.04299936264</v>
      </c>
    </row>
    <row r="1395" ht="15" customHeight="1" spans="1:6">
      <c r="A1395" s="7"/>
      <c r="B1395" s="7" t="s">
        <v>156</v>
      </c>
      <c r="C1395" s="7"/>
      <c r="D1395" s="34"/>
      <c r="E1395" s="34"/>
      <c r="F1395" s="34">
        <f>F1393+E1393+F1394</f>
        <v>55037.8096447838</v>
      </c>
    </row>
    <row r="1396" ht="15" customHeight="1" spans="1:12">
      <c r="A1396" s="236" t="s">
        <v>828</v>
      </c>
      <c r="B1396" s="236"/>
      <c r="C1396" s="236"/>
      <c r="D1396" s="236"/>
      <c r="E1396" s="236"/>
      <c r="F1396" s="236"/>
      <c r="G1396" s="236" t="s">
        <v>828</v>
      </c>
      <c r="H1396" s="236"/>
      <c r="I1396" s="236"/>
      <c r="J1396" s="236"/>
      <c r="K1396" s="236"/>
      <c r="L1396" s="236"/>
    </row>
    <row r="1397" ht="15" customHeight="1" spans="1:12">
      <c r="A1397" s="278" t="s">
        <v>1033</v>
      </c>
      <c r="B1397" s="272"/>
      <c r="C1397" s="272"/>
      <c r="D1397" s="272"/>
      <c r="E1397" s="272"/>
      <c r="F1397" s="272"/>
      <c r="G1397" s="278" t="s">
        <v>1034</v>
      </c>
      <c r="H1397" s="272"/>
      <c r="I1397" s="272"/>
      <c r="J1397" s="272"/>
      <c r="K1397" s="272"/>
      <c r="L1397" s="272"/>
    </row>
    <row r="1398" ht="15" customHeight="1" spans="1:12">
      <c r="A1398" s="228" t="s">
        <v>1032</v>
      </c>
      <c r="B1398" s="228"/>
      <c r="C1398" s="229"/>
      <c r="D1398" s="229"/>
      <c r="E1398" s="228" t="s">
        <v>832</v>
      </c>
      <c r="F1398" s="228"/>
      <c r="G1398" s="228" t="s">
        <v>1032</v>
      </c>
      <c r="H1398" s="228"/>
      <c r="I1398" s="229"/>
      <c r="J1398" s="229"/>
      <c r="K1398" s="228" t="s">
        <v>832</v>
      </c>
      <c r="L1398" s="228"/>
    </row>
    <row r="1399" ht="15" customHeight="1" spans="1:12">
      <c r="A1399" s="146" t="s">
        <v>911</v>
      </c>
      <c r="B1399" s="233"/>
      <c r="C1399" s="233"/>
      <c r="D1399" s="233"/>
      <c r="E1399" s="233"/>
      <c r="F1399" s="147"/>
      <c r="G1399" s="146" t="s">
        <v>911</v>
      </c>
      <c r="H1399" s="233"/>
      <c r="I1399" s="233"/>
      <c r="J1399" s="233"/>
      <c r="K1399" s="233"/>
      <c r="L1399" s="147"/>
    </row>
    <row r="1400" ht="15" customHeight="1" spans="1:12">
      <c r="A1400" s="7" t="s">
        <v>104</v>
      </c>
      <c r="B1400" s="7" t="s">
        <v>835</v>
      </c>
      <c r="C1400" s="7" t="s">
        <v>159</v>
      </c>
      <c r="D1400" s="7" t="s">
        <v>422</v>
      </c>
      <c r="E1400" s="7" t="s">
        <v>160</v>
      </c>
      <c r="F1400" s="7" t="s">
        <v>18</v>
      </c>
      <c r="G1400" s="7" t="s">
        <v>104</v>
      </c>
      <c r="H1400" s="7" t="s">
        <v>835</v>
      </c>
      <c r="I1400" s="7" t="s">
        <v>159</v>
      </c>
      <c r="J1400" s="7" t="s">
        <v>422</v>
      </c>
      <c r="K1400" s="7" t="s">
        <v>160</v>
      </c>
      <c r="L1400" s="7" t="s">
        <v>18</v>
      </c>
    </row>
    <row r="1401" ht="15" customHeight="1" spans="1:12">
      <c r="A1401" s="7" t="s">
        <v>836</v>
      </c>
      <c r="B1401" s="7" t="s">
        <v>837</v>
      </c>
      <c r="C1401" s="7"/>
      <c r="D1401" s="7"/>
      <c r="E1401" s="7"/>
      <c r="F1401" s="34">
        <f>F1402+F1428+F1429</f>
        <v>37151.2432692158</v>
      </c>
      <c r="G1401" s="7" t="s">
        <v>836</v>
      </c>
      <c r="H1401" s="7" t="s">
        <v>837</v>
      </c>
      <c r="I1401" s="7"/>
      <c r="J1401" s="7"/>
      <c r="K1401" s="7"/>
      <c r="L1401" s="34">
        <f>L1402+L1428+L1429</f>
        <v>38126.8608848436</v>
      </c>
    </row>
    <row r="1402" ht="15" customHeight="1" spans="1:12">
      <c r="A1402" s="7" t="s">
        <v>539</v>
      </c>
      <c r="B1402" s="7" t="s">
        <v>838</v>
      </c>
      <c r="C1402" s="7"/>
      <c r="D1402" s="7"/>
      <c r="E1402" s="7"/>
      <c r="F1402" s="34">
        <f>F1403+F1406+F1416+F1425</f>
        <v>35449.6596080303</v>
      </c>
      <c r="G1402" s="7" t="s">
        <v>539</v>
      </c>
      <c r="H1402" s="7" t="s">
        <v>838</v>
      </c>
      <c r="I1402" s="7"/>
      <c r="J1402" s="7"/>
      <c r="K1402" s="7"/>
      <c r="L1402" s="34">
        <f>L1403+L1406+L1416+L1425</f>
        <v>36380.5924473699</v>
      </c>
    </row>
    <row r="1403" ht="15" customHeight="1" spans="1:12">
      <c r="A1403" s="7">
        <v>1</v>
      </c>
      <c r="B1403" s="7" t="s">
        <v>839</v>
      </c>
      <c r="C1403" s="7" t="s">
        <v>840</v>
      </c>
      <c r="D1403" s="34"/>
      <c r="E1403" s="42">
        <f>SUM(E1404:E1405)</f>
        <v>1382.5</v>
      </c>
      <c r="F1403" s="69">
        <f>SUM(F1404:F1405)</f>
        <v>10315.646</v>
      </c>
      <c r="G1403" s="7">
        <v>1</v>
      </c>
      <c r="H1403" s="7" t="s">
        <v>839</v>
      </c>
      <c r="I1403" s="7" t="s">
        <v>840</v>
      </c>
      <c r="J1403" s="34"/>
      <c r="K1403" s="42">
        <f>SUM(K1404:K1405)</f>
        <v>1113</v>
      </c>
      <c r="L1403" s="69">
        <f>SUM(L1404:L1405)</f>
        <v>8086.096</v>
      </c>
    </row>
    <row r="1404" ht="15" customHeight="1" spans="1:12">
      <c r="A1404" s="7"/>
      <c r="B1404" s="7" t="s">
        <v>841</v>
      </c>
      <c r="C1404" s="7" t="s">
        <v>840</v>
      </c>
      <c r="D1404" s="69">
        <f>D1358</f>
        <v>8.1</v>
      </c>
      <c r="E1404" s="42">
        <f>1003.7</f>
        <v>1003.7</v>
      </c>
      <c r="F1404" s="69">
        <f>D1404*E1404</f>
        <v>8129.97</v>
      </c>
      <c r="G1404" s="7"/>
      <c r="H1404" s="7" t="s">
        <v>841</v>
      </c>
      <c r="I1404" s="7" t="s">
        <v>840</v>
      </c>
      <c r="J1404" s="69">
        <f>D1404</f>
        <v>8.1</v>
      </c>
      <c r="K1404" s="42">
        <v>714.2</v>
      </c>
      <c r="L1404" s="69">
        <f>J1404*K1404</f>
        <v>5785.02</v>
      </c>
    </row>
    <row r="1405" ht="15" customHeight="1" spans="1:12">
      <c r="A1405" s="7"/>
      <c r="B1405" s="7" t="s">
        <v>842</v>
      </c>
      <c r="C1405" s="7" t="s">
        <v>840</v>
      </c>
      <c r="D1405" s="69">
        <f t="shared" ref="D1405:D1414" si="83">D1359</f>
        <v>5.77</v>
      </c>
      <c r="E1405" s="42">
        <f>378.8</f>
        <v>378.8</v>
      </c>
      <c r="F1405" s="69">
        <f>D1405*E1405</f>
        <v>2185.676</v>
      </c>
      <c r="G1405" s="7"/>
      <c r="H1405" s="7" t="s">
        <v>842</v>
      </c>
      <c r="I1405" s="7" t="s">
        <v>840</v>
      </c>
      <c r="J1405" s="69">
        <f>D1405</f>
        <v>5.77</v>
      </c>
      <c r="K1405" s="42">
        <v>398.8</v>
      </c>
      <c r="L1405" s="69">
        <f>J1405*K1405</f>
        <v>2301.076</v>
      </c>
    </row>
    <row r="1406" ht="15" customHeight="1" spans="1:12">
      <c r="A1406" s="7">
        <v>2</v>
      </c>
      <c r="B1406" s="7" t="s">
        <v>912</v>
      </c>
      <c r="C1406" s="7"/>
      <c r="D1406" s="69"/>
      <c r="E1406" s="34"/>
      <c r="F1406" s="34">
        <f>SUM(F1407:F1415)</f>
        <v>22339.253453775</v>
      </c>
      <c r="G1406" s="7">
        <v>2</v>
      </c>
      <c r="H1406" s="7" t="s">
        <v>912</v>
      </c>
      <c r="I1406" s="7"/>
      <c r="J1406" s="69"/>
      <c r="K1406" s="34"/>
      <c r="L1406" s="34">
        <f>SUM(L1407:L1415)</f>
        <v>25062.583712805</v>
      </c>
    </row>
    <row r="1407" ht="15" customHeight="1" spans="1:12">
      <c r="A1407" s="7"/>
      <c r="B1407" s="273" t="s">
        <v>996</v>
      </c>
      <c r="C1407" s="273" t="s">
        <v>169</v>
      </c>
      <c r="D1407" s="69">
        <f t="shared" si="83"/>
        <v>2238.008025</v>
      </c>
      <c r="E1407" s="34">
        <v>0.71</v>
      </c>
      <c r="F1407" s="34">
        <f t="shared" ref="F1407:F1414" si="84">D1407*E1407</f>
        <v>1588.98569775</v>
      </c>
      <c r="G1407" s="7"/>
      <c r="H1407" s="273" t="s">
        <v>996</v>
      </c>
      <c r="I1407" s="273" t="s">
        <v>169</v>
      </c>
      <c r="J1407" s="69">
        <f>D1407</f>
        <v>2238.008025</v>
      </c>
      <c r="K1407" s="34">
        <v>0.77</v>
      </c>
      <c r="L1407" s="34">
        <f t="shared" ref="L1407:L1414" si="85">J1407*K1407</f>
        <v>1723.26617925</v>
      </c>
    </row>
    <row r="1408" ht="15" customHeight="1" spans="1:12">
      <c r="A1408" s="7"/>
      <c r="B1408" s="273" t="s">
        <v>997</v>
      </c>
      <c r="C1408" s="273" t="s">
        <v>863</v>
      </c>
      <c r="D1408" s="69">
        <f t="shared" si="83"/>
        <v>4.44</v>
      </c>
      <c r="E1408" s="34">
        <v>68.86</v>
      </c>
      <c r="F1408" s="34">
        <f t="shared" si="84"/>
        <v>305.7384</v>
      </c>
      <c r="G1408" s="7"/>
      <c r="H1408" s="273" t="s">
        <v>997</v>
      </c>
      <c r="I1408" s="273" t="s">
        <v>863</v>
      </c>
      <c r="J1408" s="69">
        <f t="shared" ref="J1408:J1412" si="86">D1408</f>
        <v>4.44</v>
      </c>
      <c r="K1408" s="34">
        <v>49.98</v>
      </c>
      <c r="L1408" s="34">
        <f t="shared" si="85"/>
        <v>221.9112</v>
      </c>
    </row>
    <row r="1409" ht="15" customHeight="1" spans="1:12">
      <c r="A1409" s="7"/>
      <c r="B1409" s="273" t="s">
        <v>998</v>
      </c>
      <c r="C1409" s="273" t="s">
        <v>863</v>
      </c>
      <c r="D1409" s="69">
        <f t="shared" si="83"/>
        <v>4.5</v>
      </c>
      <c r="E1409" s="34">
        <v>36.77</v>
      </c>
      <c r="F1409" s="34">
        <f t="shared" si="84"/>
        <v>165.465</v>
      </c>
      <c r="G1409" s="7"/>
      <c r="H1409" s="273" t="s">
        <v>998</v>
      </c>
      <c r="I1409" s="273" t="s">
        <v>863</v>
      </c>
      <c r="J1409" s="69">
        <f t="shared" si="86"/>
        <v>4.5</v>
      </c>
      <c r="K1409" s="34">
        <v>157.88</v>
      </c>
      <c r="L1409" s="34">
        <f t="shared" si="85"/>
        <v>710.46</v>
      </c>
    </row>
    <row r="1410" ht="15" customHeight="1" spans="1:12">
      <c r="A1410" s="7"/>
      <c r="B1410" s="273" t="s">
        <v>999</v>
      </c>
      <c r="C1410" s="273" t="s">
        <v>863</v>
      </c>
      <c r="D1410" s="69">
        <f t="shared" si="83"/>
        <v>5.15</v>
      </c>
      <c r="E1410" s="34">
        <v>30.87</v>
      </c>
      <c r="F1410" s="34">
        <f t="shared" si="84"/>
        <v>158.9805</v>
      </c>
      <c r="G1410" s="7"/>
      <c r="H1410" s="273" t="s">
        <v>999</v>
      </c>
      <c r="I1410" s="273" t="s">
        <v>863</v>
      </c>
      <c r="J1410" s="69">
        <f t="shared" si="86"/>
        <v>5.15</v>
      </c>
      <c r="K1410" s="34">
        <v>160.33</v>
      </c>
      <c r="L1410" s="34">
        <f t="shared" si="85"/>
        <v>825.6995</v>
      </c>
    </row>
    <row r="1411" ht="15" customHeight="1" spans="1:12">
      <c r="A1411" s="7"/>
      <c r="B1411" s="273" t="s">
        <v>1000</v>
      </c>
      <c r="C1411" s="273" t="s">
        <v>863</v>
      </c>
      <c r="D1411" s="69">
        <f t="shared" si="83"/>
        <v>4.5</v>
      </c>
      <c r="E1411" s="34">
        <v>273.78</v>
      </c>
      <c r="F1411" s="34">
        <f t="shared" si="84"/>
        <v>1232.01</v>
      </c>
      <c r="G1411" s="7"/>
      <c r="H1411" s="273" t="s">
        <v>1000</v>
      </c>
      <c r="I1411" s="273" t="s">
        <v>863</v>
      </c>
      <c r="J1411" s="69">
        <f t="shared" si="86"/>
        <v>4.5</v>
      </c>
      <c r="K1411" s="34">
        <v>41.07</v>
      </c>
      <c r="L1411" s="34">
        <f t="shared" si="85"/>
        <v>184.815</v>
      </c>
    </row>
    <row r="1412" ht="15" customHeight="1" spans="1:12">
      <c r="A1412" s="7"/>
      <c r="B1412" s="273" t="s">
        <v>1002</v>
      </c>
      <c r="C1412" s="273" t="s">
        <v>863</v>
      </c>
      <c r="D1412" s="69">
        <f t="shared" si="83"/>
        <v>5.97</v>
      </c>
      <c r="E1412" s="34">
        <v>5.75</v>
      </c>
      <c r="F1412" s="34">
        <f t="shared" si="84"/>
        <v>34.3275</v>
      </c>
      <c r="G1412" s="7"/>
      <c r="H1412" s="273" t="s">
        <v>1002</v>
      </c>
      <c r="I1412" s="273" t="s">
        <v>863</v>
      </c>
      <c r="J1412" s="69">
        <f t="shared" si="86"/>
        <v>5.97</v>
      </c>
      <c r="K1412" s="34">
        <f>211.36+3.95</f>
        <v>215.31</v>
      </c>
      <c r="L1412" s="34">
        <f t="shared" si="85"/>
        <v>1285.4007</v>
      </c>
    </row>
    <row r="1413" ht="15" customHeight="1" spans="1:12">
      <c r="A1413" s="7"/>
      <c r="B1413" s="7" t="s">
        <v>1003</v>
      </c>
      <c r="C1413" s="7" t="s">
        <v>169</v>
      </c>
      <c r="D1413" s="69">
        <f t="shared" si="83"/>
        <v>176.3536095</v>
      </c>
      <c r="E1413" s="34">
        <v>103</v>
      </c>
      <c r="F1413" s="34">
        <f t="shared" si="84"/>
        <v>18164.4217785</v>
      </c>
      <c r="G1413" s="7"/>
      <c r="H1413" s="7" t="s">
        <v>1016</v>
      </c>
      <c r="I1413" s="7" t="s">
        <v>169</v>
      </c>
      <c r="J1413" s="69">
        <f>配合比!M11</f>
        <v>188.0418245</v>
      </c>
      <c r="K1413" s="34">
        <v>103</v>
      </c>
      <c r="L1413" s="34">
        <f t="shared" si="85"/>
        <v>19368.3079235</v>
      </c>
    </row>
    <row r="1414" ht="15" customHeight="1" spans="1:12">
      <c r="A1414" s="7"/>
      <c r="B1414" s="7" t="s">
        <v>913</v>
      </c>
      <c r="C1414" s="7" t="s">
        <v>169</v>
      </c>
      <c r="D1414" s="69">
        <f t="shared" si="83"/>
        <v>3.59</v>
      </c>
      <c r="E1414" s="34">
        <v>70</v>
      </c>
      <c r="F1414" s="34">
        <f t="shared" si="84"/>
        <v>251.3</v>
      </c>
      <c r="G1414" s="7"/>
      <c r="H1414" s="7" t="s">
        <v>913</v>
      </c>
      <c r="I1414" s="7" t="s">
        <v>169</v>
      </c>
      <c r="J1414" s="69">
        <f>材料预算价!K13</f>
        <v>3.59</v>
      </c>
      <c r="K1414" s="34">
        <v>70</v>
      </c>
      <c r="L1414" s="34">
        <f t="shared" si="85"/>
        <v>251.3</v>
      </c>
    </row>
    <row r="1415" ht="15" customHeight="1" spans="1:12">
      <c r="A1415" s="7"/>
      <c r="B1415" s="7" t="s">
        <v>1004</v>
      </c>
      <c r="C1415" s="9" t="s">
        <v>845</v>
      </c>
      <c r="D1415" s="34">
        <f>SUM(F1407:F1414)</f>
        <v>21901.22887625</v>
      </c>
      <c r="E1415" s="34">
        <v>2</v>
      </c>
      <c r="F1415" s="34">
        <f>D1415*E1415/100</f>
        <v>438.024577525</v>
      </c>
      <c r="G1415" s="7"/>
      <c r="H1415" s="7" t="s">
        <v>1004</v>
      </c>
      <c r="I1415" s="9" t="s">
        <v>845</v>
      </c>
      <c r="J1415" s="34">
        <f>SUM(L1407:L1414)</f>
        <v>24571.16050275</v>
      </c>
      <c r="K1415" s="34">
        <v>2</v>
      </c>
      <c r="L1415" s="34">
        <f>J1415*K1415/100</f>
        <v>491.423210055</v>
      </c>
    </row>
    <row r="1416" ht="15" customHeight="1" spans="1:12">
      <c r="A1416" s="7">
        <v>3</v>
      </c>
      <c r="B1416" s="7" t="s">
        <v>859</v>
      </c>
      <c r="C1416" s="7"/>
      <c r="D1416" s="34"/>
      <c r="E1416" s="34"/>
      <c r="F1416" s="34">
        <f>SUM(F1417:F1424)</f>
        <v>803.103962867172</v>
      </c>
      <c r="G1416" s="7">
        <v>3</v>
      </c>
      <c r="H1416" s="7" t="s">
        <v>859</v>
      </c>
      <c r="I1416" s="7"/>
      <c r="J1416" s="34"/>
      <c r="K1416" s="34"/>
      <c r="L1416" s="34">
        <f>SUM(L1417:L1424)</f>
        <v>1240.25654317671</v>
      </c>
    </row>
    <row r="1417" ht="15" customHeight="1" spans="1:12">
      <c r="A1417" s="7"/>
      <c r="B1417" s="7" t="s">
        <v>1005</v>
      </c>
      <c r="C1417" s="7" t="s">
        <v>428</v>
      </c>
      <c r="D1417" s="34">
        <f>D1371</f>
        <v>49.389824491424</v>
      </c>
      <c r="E1417" s="34">
        <v>0.29</v>
      </c>
      <c r="F1417" s="34">
        <f>D1417*E1417</f>
        <v>14.323049102513</v>
      </c>
      <c r="G1417" s="7"/>
      <c r="H1417" s="7" t="s">
        <v>1005</v>
      </c>
      <c r="I1417" s="7" t="s">
        <v>428</v>
      </c>
      <c r="J1417" s="34">
        <f>D1417</f>
        <v>49.389824491424</v>
      </c>
      <c r="K1417" s="34">
        <v>1.92</v>
      </c>
      <c r="L1417" s="34">
        <f>J1417*K1417</f>
        <v>94.8284630235341</v>
      </c>
    </row>
    <row r="1418" ht="15" customHeight="1" spans="1:12">
      <c r="A1418" s="7"/>
      <c r="B1418" s="7"/>
      <c r="C1418" s="7"/>
      <c r="D1418" s="34"/>
      <c r="E1418" s="251"/>
      <c r="F1418" s="34"/>
      <c r="G1418" s="7"/>
      <c r="H1418" s="7" t="s">
        <v>1035</v>
      </c>
      <c r="I1418" s="7"/>
      <c r="J1418" s="34">
        <f>台时!F84</f>
        <v>62.3342780215397</v>
      </c>
      <c r="K1418" s="251">
        <v>0.24</v>
      </c>
      <c r="L1418" s="34">
        <f t="shared" ref="L1418:L1423" si="87">J1418*K1418</f>
        <v>14.9602267251695</v>
      </c>
    </row>
    <row r="1419" ht="15" customHeight="1" spans="1:12">
      <c r="A1419" s="7"/>
      <c r="B1419" s="7"/>
      <c r="C1419" s="7"/>
      <c r="D1419" s="34"/>
      <c r="E1419" s="251"/>
      <c r="F1419" s="34"/>
      <c r="G1419" s="7"/>
      <c r="H1419" s="7" t="s">
        <v>1036</v>
      </c>
      <c r="I1419" s="7"/>
      <c r="J1419" s="34">
        <f>台时!F63</f>
        <v>95.890325887515</v>
      </c>
      <c r="K1419" s="251">
        <v>2.94</v>
      </c>
      <c r="L1419" s="34">
        <f t="shared" si="87"/>
        <v>281.917558109294</v>
      </c>
    </row>
    <row r="1420" ht="15" customHeight="1" spans="1:12">
      <c r="A1420" s="7"/>
      <c r="B1420" s="7" t="s">
        <v>1007</v>
      </c>
      <c r="C1420" s="7" t="s">
        <v>428</v>
      </c>
      <c r="D1420" s="34">
        <f>D1372</f>
        <v>8.3371858795373</v>
      </c>
      <c r="E1420" s="251">
        <v>8.59</v>
      </c>
      <c r="F1420" s="34">
        <f>D1420*E1420</f>
        <v>71.6164267052254</v>
      </c>
      <c r="G1420" s="7"/>
      <c r="H1420" s="7" t="s">
        <v>1007</v>
      </c>
      <c r="I1420" s="7" t="s">
        <v>428</v>
      </c>
      <c r="J1420" s="34">
        <f t="shared" ref="J1420:J1423" si="88">D1420</f>
        <v>8.3371858795373</v>
      </c>
      <c r="K1420" s="251">
        <v>7.02</v>
      </c>
      <c r="L1420" s="34">
        <f t="shared" si="87"/>
        <v>58.5270448743518</v>
      </c>
    </row>
    <row r="1421" ht="15" customHeight="1" spans="1:12">
      <c r="A1421" s="7"/>
      <c r="B1421" s="7" t="s">
        <v>1008</v>
      </c>
      <c r="C1421" s="7" t="s">
        <v>428</v>
      </c>
      <c r="D1421" s="34">
        <f>D1373</f>
        <v>23.9179521340247</v>
      </c>
      <c r="E1421" s="34">
        <v>18.54</v>
      </c>
      <c r="F1421" s="34">
        <f>D1421*E1421</f>
        <v>443.438832564818</v>
      </c>
      <c r="G1421" s="7"/>
      <c r="H1421" s="7" t="s">
        <v>1008</v>
      </c>
      <c r="I1421" s="7" t="s">
        <v>428</v>
      </c>
      <c r="J1421" s="34">
        <f t="shared" si="88"/>
        <v>23.9179521340247</v>
      </c>
      <c r="K1421" s="34">
        <v>18.54</v>
      </c>
      <c r="L1421" s="34">
        <f t="shared" si="87"/>
        <v>443.438832564818</v>
      </c>
    </row>
    <row r="1422" ht="15" customHeight="1" spans="1:12">
      <c r="A1422" s="7"/>
      <c r="B1422" s="7" t="s">
        <v>1021</v>
      </c>
      <c r="C1422" s="7" t="s">
        <v>428</v>
      </c>
      <c r="D1422" s="34">
        <f>D1374</f>
        <v>2.41252772237734</v>
      </c>
      <c r="E1422" s="34">
        <v>30</v>
      </c>
      <c r="F1422" s="34">
        <f>D1422*E1422</f>
        <v>72.3758316713203</v>
      </c>
      <c r="G1422" s="7"/>
      <c r="H1422" s="7" t="s">
        <v>1021</v>
      </c>
      <c r="I1422" s="7" t="s">
        <v>428</v>
      </c>
      <c r="J1422" s="34">
        <f t="shared" si="88"/>
        <v>2.41252772237734</v>
      </c>
      <c r="K1422" s="34">
        <v>30</v>
      </c>
      <c r="L1422" s="34">
        <f t="shared" si="87"/>
        <v>72.3758316713203</v>
      </c>
    </row>
    <row r="1423" ht="15" customHeight="1" spans="1:12">
      <c r="A1423" s="7"/>
      <c r="B1423" s="7" t="s">
        <v>967</v>
      </c>
      <c r="C1423" s="7" t="s">
        <v>428</v>
      </c>
      <c r="D1423" s="34">
        <f>D1375</f>
        <v>0.813242919824491</v>
      </c>
      <c r="E1423" s="34">
        <v>83</v>
      </c>
      <c r="F1423" s="34">
        <f>D1423*E1423</f>
        <v>67.4991623454328</v>
      </c>
      <c r="G1423" s="7"/>
      <c r="H1423" s="7" t="s">
        <v>967</v>
      </c>
      <c r="I1423" s="7" t="s">
        <v>428</v>
      </c>
      <c r="J1423" s="34">
        <f t="shared" si="88"/>
        <v>0.813242919824491</v>
      </c>
      <c r="K1423" s="34">
        <v>83</v>
      </c>
      <c r="L1423" s="34">
        <f t="shared" si="87"/>
        <v>67.4991623454328</v>
      </c>
    </row>
    <row r="1424" ht="15" customHeight="1" spans="1:12">
      <c r="A1424" s="7"/>
      <c r="B1424" s="7" t="s">
        <v>918</v>
      </c>
      <c r="C1424" s="9" t="s">
        <v>845</v>
      </c>
      <c r="D1424" s="34">
        <f>SUM(F1417:F1423)</f>
        <v>669.25330238931</v>
      </c>
      <c r="E1424" s="247">
        <v>20</v>
      </c>
      <c r="F1424" s="34">
        <f>D1424*E1424/100</f>
        <v>133.850660477862</v>
      </c>
      <c r="G1424" s="7"/>
      <c r="H1424" s="7" t="s">
        <v>918</v>
      </c>
      <c r="I1424" s="9" t="s">
        <v>845</v>
      </c>
      <c r="J1424" s="34">
        <f>SUM(L1417:L1423)</f>
        <v>1033.54711931392</v>
      </c>
      <c r="K1424" s="247">
        <v>20</v>
      </c>
      <c r="L1424" s="34">
        <f>J1424*K1424/100</f>
        <v>206.709423862784</v>
      </c>
    </row>
    <row r="1425" ht="15" customHeight="1" spans="1:12">
      <c r="A1425" s="5">
        <v>4</v>
      </c>
      <c r="B1425" s="5" t="s">
        <v>1010</v>
      </c>
      <c r="C1425" s="275"/>
      <c r="D1425" s="276"/>
      <c r="E1425" s="276"/>
      <c r="F1425" s="276">
        <f>SUM(F1426:F1427)</f>
        <v>1991.65619138815</v>
      </c>
      <c r="G1425" s="5">
        <v>4</v>
      </c>
      <c r="H1425" s="5" t="s">
        <v>1010</v>
      </c>
      <c r="I1425" s="275"/>
      <c r="J1425" s="276"/>
      <c r="K1425" s="276"/>
      <c r="L1425" s="276">
        <f>SUM(L1426:L1427)</f>
        <v>1991.65619138815</v>
      </c>
    </row>
    <row r="1426" ht="15" customHeight="1" spans="1:12">
      <c r="A1426" s="7"/>
      <c r="B1426" s="123" t="s">
        <v>681</v>
      </c>
      <c r="C1426" s="123" t="s">
        <v>169</v>
      </c>
      <c r="D1426" s="274">
        <f>$F$2795/100</f>
        <v>5.03319379720782</v>
      </c>
      <c r="E1426" s="274">
        <v>103</v>
      </c>
      <c r="F1426" s="34">
        <f>D1426*E1426</f>
        <v>518.418961112405</v>
      </c>
      <c r="G1426" s="7"/>
      <c r="H1426" s="123" t="s">
        <v>681</v>
      </c>
      <c r="I1426" s="123" t="s">
        <v>169</v>
      </c>
      <c r="J1426" s="274">
        <f>$F$2795/100</f>
        <v>5.03319379720782</v>
      </c>
      <c r="K1426" s="274">
        <v>103</v>
      </c>
      <c r="L1426" s="34">
        <f>J1426*K1426</f>
        <v>518.418961112405</v>
      </c>
    </row>
    <row r="1427" ht="15" customHeight="1" spans="1:12">
      <c r="A1427" s="7"/>
      <c r="B1427" s="123" t="s">
        <v>682</v>
      </c>
      <c r="C1427" s="123" t="s">
        <v>169</v>
      </c>
      <c r="D1427" s="274">
        <f>$F$2813/100</f>
        <v>14.303274080347</v>
      </c>
      <c r="E1427" s="274">
        <v>103</v>
      </c>
      <c r="F1427" s="34">
        <f>D1427*E1427</f>
        <v>1473.23723027574</v>
      </c>
      <c r="G1427" s="7"/>
      <c r="H1427" s="123" t="s">
        <v>682</v>
      </c>
      <c r="I1427" s="123" t="s">
        <v>169</v>
      </c>
      <c r="J1427" s="274">
        <f>$F$2813/100</f>
        <v>14.303274080347</v>
      </c>
      <c r="K1427" s="274">
        <v>103</v>
      </c>
      <c r="L1427" s="34">
        <f>J1427*K1427</f>
        <v>1473.23723027574</v>
      </c>
    </row>
    <row r="1428" ht="15" customHeight="1" spans="1:12">
      <c r="A1428" s="7" t="s">
        <v>564</v>
      </c>
      <c r="B1428" s="7" t="s">
        <v>846</v>
      </c>
      <c r="C1428" s="230">
        <f>取费表!$C$7</f>
        <v>0.048</v>
      </c>
      <c r="D1428" s="274"/>
      <c r="E1428" s="274">
        <f>F1402</f>
        <v>35449.6596080303</v>
      </c>
      <c r="F1428" s="34">
        <f>E1428*C1428</f>
        <v>1701.58366118546</v>
      </c>
      <c r="G1428" s="7" t="s">
        <v>564</v>
      </c>
      <c r="H1428" s="7" t="s">
        <v>846</v>
      </c>
      <c r="I1428" s="230">
        <f>取费表!$C$7</f>
        <v>0.048</v>
      </c>
      <c r="J1428" s="274"/>
      <c r="K1428" s="274">
        <f>L1402</f>
        <v>36380.5924473699</v>
      </c>
      <c r="L1428" s="34">
        <f>K1428*I1428</f>
        <v>1746.26843747375</v>
      </c>
    </row>
    <row r="1429" ht="15" customHeight="1" spans="1:12">
      <c r="A1429" s="7"/>
      <c r="B1429" s="7"/>
      <c r="C1429" s="230"/>
      <c r="D1429" s="274"/>
      <c r="E1429" s="274"/>
      <c r="F1429" s="34"/>
      <c r="G1429" s="7"/>
      <c r="H1429" s="7"/>
      <c r="I1429" s="230"/>
      <c r="J1429" s="274"/>
      <c r="K1429" s="274"/>
      <c r="L1429" s="34"/>
    </row>
    <row r="1430" ht="15" customHeight="1" spans="1:12">
      <c r="A1430" s="7" t="s">
        <v>439</v>
      </c>
      <c r="B1430" s="7" t="s">
        <v>847</v>
      </c>
      <c r="C1430" s="230">
        <f>取费表!$E$7</f>
        <v>0.07</v>
      </c>
      <c r="D1430" s="274"/>
      <c r="E1430" s="274">
        <f>F1401</f>
        <v>37151.2432692158</v>
      </c>
      <c r="F1430" s="34">
        <f>E1430*C1430</f>
        <v>2600.58702884511</v>
      </c>
      <c r="G1430" s="7" t="s">
        <v>439</v>
      </c>
      <c r="H1430" s="7" t="s">
        <v>847</v>
      </c>
      <c r="I1430" s="230">
        <f>取费表!$E$7</f>
        <v>0.07</v>
      </c>
      <c r="J1430" s="274"/>
      <c r="K1430" s="274">
        <f>L1401</f>
        <v>38126.8608848436</v>
      </c>
      <c r="L1430" s="34">
        <f>K1430*I1430</f>
        <v>2668.88026193905</v>
      </c>
    </row>
    <row r="1431" ht="15" customHeight="1" spans="1:12">
      <c r="A1431" s="7" t="s">
        <v>83</v>
      </c>
      <c r="B1431" s="7" t="s">
        <v>848</v>
      </c>
      <c r="C1431" s="230">
        <f>取费表!$F$7</f>
        <v>0.07</v>
      </c>
      <c r="D1431" s="274"/>
      <c r="E1431" s="274">
        <f>F1430+F1401</f>
        <v>39751.8302980609</v>
      </c>
      <c r="F1431" s="34">
        <f>E1431*C1431</f>
        <v>2782.62812086426</v>
      </c>
      <c r="G1431" s="7" t="s">
        <v>83</v>
      </c>
      <c r="H1431" s="7" t="s">
        <v>848</v>
      </c>
      <c r="I1431" s="230">
        <f>取费表!$F$7</f>
        <v>0.07</v>
      </c>
      <c r="J1431" s="274"/>
      <c r="K1431" s="274">
        <f>L1430+L1401</f>
        <v>40795.7411467827</v>
      </c>
      <c r="L1431" s="34">
        <f>K1431*I1431</f>
        <v>2855.70188027479</v>
      </c>
    </row>
    <row r="1432" ht="15" customHeight="1" spans="1:12">
      <c r="A1432" s="5" t="s">
        <v>121</v>
      </c>
      <c r="B1432" s="5" t="s">
        <v>861</v>
      </c>
      <c r="C1432" s="275"/>
      <c r="D1432" s="276"/>
      <c r="E1432" s="5"/>
      <c r="F1432" s="277">
        <f>F1433+F1438</f>
        <v>12876.1683692927</v>
      </c>
      <c r="G1432" s="5" t="s">
        <v>121</v>
      </c>
      <c r="H1432" s="5" t="s">
        <v>861</v>
      </c>
      <c r="I1432" s="275"/>
      <c r="J1432" s="276"/>
      <c r="K1432" s="5"/>
      <c r="L1432" s="277">
        <f>L1433+L1438</f>
        <v>9721.70931194332</v>
      </c>
    </row>
    <row r="1433" ht="15" customHeight="1" spans="1:12">
      <c r="A1433" s="7">
        <v>1</v>
      </c>
      <c r="B1433" s="7" t="s">
        <v>1011</v>
      </c>
      <c r="C1433" s="9"/>
      <c r="D1433" s="34"/>
      <c r="E1433" s="7"/>
      <c r="F1433" s="69">
        <f>SUM(F1434:F1437)</f>
        <v>12863.7969692927</v>
      </c>
      <c r="G1433" s="7">
        <v>1</v>
      </c>
      <c r="H1433" s="7" t="s">
        <v>1011</v>
      </c>
      <c r="I1433" s="9"/>
      <c r="J1433" s="34"/>
      <c r="K1433" s="7"/>
      <c r="L1433" s="69">
        <f>SUM(L1434:L1437)</f>
        <v>9639.80211194332</v>
      </c>
    </row>
    <row r="1434" ht="15" customHeight="1" spans="1:12">
      <c r="A1434" s="7"/>
      <c r="B1434" s="7"/>
      <c r="C1434" s="7"/>
      <c r="D1434" s="34"/>
      <c r="E1434" s="34"/>
      <c r="F1434" s="69"/>
      <c r="G1434" s="7"/>
      <c r="H1434" s="7"/>
      <c r="I1434" s="7"/>
      <c r="J1434" s="34"/>
      <c r="K1434" s="34"/>
      <c r="L1434" s="69"/>
    </row>
    <row r="1435" ht="15" customHeight="1" spans="1:12">
      <c r="A1435" s="7"/>
      <c r="B1435" s="7" t="s">
        <v>983</v>
      </c>
      <c r="C1435" s="7" t="s">
        <v>200</v>
      </c>
      <c r="D1435" s="34">
        <f>材料预算价!K6-材料预算价!L6</f>
        <v>265.23946</v>
      </c>
      <c r="E1435" s="34">
        <f>E1387</f>
        <v>31.641291</v>
      </c>
      <c r="F1435" s="69">
        <f>D1435*E1435</f>
        <v>8392.51893854286</v>
      </c>
      <c r="G1435" s="7"/>
      <c r="H1435" s="7" t="s">
        <v>983</v>
      </c>
      <c r="I1435" s="7" t="s">
        <v>200</v>
      </c>
      <c r="J1435" s="34">
        <f>材料预算价!K5-材料预算价!L5</f>
        <v>141.58936</v>
      </c>
      <c r="K1435" s="34">
        <f>K1413*配合比!E11</f>
        <v>37.58161</v>
      </c>
      <c r="L1435" s="69">
        <f>J1435*K1435</f>
        <v>5321.1561076696</v>
      </c>
    </row>
    <row r="1436" ht="15" customHeight="1" spans="1:12">
      <c r="A1436" s="7"/>
      <c r="B1436" s="7" t="s">
        <v>961</v>
      </c>
      <c r="C1436" s="7" t="s">
        <v>169</v>
      </c>
      <c r="D1436" s="34">
        <f>D1388</f>
        <v>34.366056</v>
      </c>
      <c r="E1436" s="34">
        <f>E1388</f>
        <v>56.62734</v>
      </c>
      <c r="F1436" s="69">
        <f>D1436*E1436</f>
        <v>1946.05833757104</v>
      </c>
      <c r="G1436" s="7"/>
      <c r="H1436" s="7" t="s">
        <v>961</v>
      </c>
      <c r="I1436" s="7" t="s">
        <v>169</v>
      </c>
      <c r="J1436" s="34">
        <f t="shared" ref="J1436:J1437" si="89">D1436</f>
        <v>34.366056</v>
      </c>
      <c r="K1436" s="34">
        <f>K1413*配合比!G11</f>
        <v>52.18598</v>
      </c>
      <c r="L1436" s="69">
        <f>J1436*K1436</f>
        <v>1793.42631109488</v>
      </c>
    </row>
    <row r="1437" ht="15" customHeight="1" spans="1:12">
      <c r="A1437" s="7"/>
      <c r="B1437" s="7" t="s">
        <v>1012</v>
      </c>
      <c r="C1437" s="7" t="s">
        <v>169</v>
      </c>
      <c r="D1437" s="34">
        <f>D1389</f>
        <v>29.13701</v>
      </c>
      <c r="E1437" s="34">
        <f>E1389</f>
        <v>86.667084</v>
      </c>
      <c r="F1437" s="69">
        <f>D1437*E1437</f>
        <v>2525.21969317884</v>
      </c>
      <c r="G1437" s="7"/>
      <c r="H1437" s="7" t="s">
        <v>1012</v>
      </c>
      <c r="I1437" s="7" t="s">
        <v>169</v>
      </c>
      <c r="J1437" s="34">
        <f t="shared" si="89"/>
        <v>29.13701</v>
      </c>
      <c r="K1437" s="34">
        <f>K1413*配合比!I11</f>
        <v>86.667084</v>
      </c>
      <c r="L1437" s="69">
        <f>J1437*K1437</f>
        <v>2525.21969317884</v>
      </c>
    </row>
    <row r="1438" ht="15" customHeight="1" spans="1:12">
      <c r="A1438" s="7">
        <v>2</v>
      </c>
      <c r="B1438" s="7" t="s">
        <v>1013</v>
      </c>
      <c r="C1438" s="7"/>
      <c r="D1438" s="34"/>
      <c r="E1438" s="38"/>
      <c r="F1438" s="69">
        <f>SUM(F1439:F1440)</f>
        <v>12.3714</v>
      </c>
      <c r="G1438" s="7">
        <v>2</v>
      </c>
      <c r="H1438" s="7" t="s">
        <v>1013</v>
      </c>
      <c r="I1438" s="7"/>
      <c r="J1438" s="34"/>
      <c r="K1438" s="38"/>
      <c r="L1438" s="69">
        <f>SUM(L1439:L1440)</f>
        <v>81.9072</v>
      </c>
    </row>
    <row r="1439" ht="15" customHeight="1" spans="1:12">
      <c r="A1439" s="7"/>
      <c r="B1439" s="7" t="s">
        <v>1014</v>
      </c>
      <c r="C1439" s="7" t="s">
        <v>863</v>
      </c>
      <c r="D1439" s="34">
        <f>D1391</f>
        <v>5.925</v>
      </c>
      <c r="E1439" s="38">
        <f>(E1417*7.2)</f>
        <v>2.088</v>
      </c>
      <c r="F1439" s="69">
        <f>D1439*E1439</f>
        <v>12.3714</v>
      </c>
      <c r="G1439" s="7"/>
      <c r="H1439" s="7" t="s">
        <v>1014</v>
      </c>
      <c r="I1439" s="7" t="s">
        <v>863</v>
      </c>
      <c r="J1439" s="34">
        <f>D1439</f>
        <v>5.925</v>
      </c>
      <c r="K1439" s="38">
        <f>(K1417*7.2)</f>
        <v>13.824</v>
      </c>
      <c r="L1439" s="69">
        <f>J1439*K1439</f>
        <v>81.9072</v>
      </c>
    </row>
    <row r="1440" ht="15" customHeight="1" spans="1:12">
      <c r="A1440" s="7"/>
      <c r="B1440" s="7" t="s">
        <v>862</v>
      </c>
      <c r="C1440" s="7" t="s">
        <v>863</v>
      </c>
      <c r="D1440" s="34">
        <f>D1392</f>
        <v>4.58</v>
      </c>
      <c r="E1440" s="38"/>
      <c r="F1440" s="69">
        <f>D1440*E1440</f>
        <v>0</v>
      </c>
      <c r="G1440" s="7"/>
      <c r="H1440" s="7" t="s">
        <v>862</v>
      </c>
      <c r="I1440" s="7" t="s">
        <v>863</v>
      </c>
      <c r="J1440" s="34">
        <f>D1440</f>
        <v>4.58</v>
      </c>
      <c r="K1440" s="38"/>
      <c r="L1440" s="69">
        <f>J1440*K1440</f>
        <v>0</v>
      </c>
    </row>
    <row r="1441" ht="15" customHeight="1" spans="1:12">
      <c r="A1441" s="7" t="s">
        <v>135</v>
      </c>
      <c r="B1441" s="7" t="s">
        <v>849</v>
      </c>
      <c r="C1441" s="231">
        <f>C1393</f>
        <v>0.09</v>
      </c>
      <c r="D1441" s="34"/>
      <c r="E1441" s="34">
        <f>F1432+F1431+F1430+F1401</f>
        <v>55410.6267882179</v>
      </c>
      <c r="F1441" s="34">
        <f>E1441*C1441</f>
        <v>4986.95641093961</v>
      </c>
      <c r="G1441" s="7" t="s">
        <v>135</v>
      </c>
      <c r="H1441" s="7" t="s">
        <v>849</v>
      </c>
      <c r="I1441" s="231">
        <v>0.09</v>
      </c>
      <c r="J1441" s="34"/>
      <c r="K1441" s="34">
        <f>L1432+L1431+L1430+L1401</f>
        <v>53373.1523390008</v>
      </c>
      <c r="L1441" s="34">
        <f>K1441*I1441</f>
        <v>4803.58371051007</v>
      </c>
    </row>
    <row r="1442" ht="15" customHeight="1" spans="1:12">
      <c r="A1442" s="7"/>
      <c r="B1442" s="7" t="s">
        <v>850</v>
      </c>
      <c r="C1442" s="231"/>
      <c r="D1442" s="34"/>
      <c r="E1442" s="34"/>
      <c r="F1442" s="34">
        <f>(F1401+F1430+F1431+F1432+F1441)*取费表!H7</f>
        <v>1811.92749597472</v>
      </c>
      <c r="G1442" s="7"/>
      <c r="H1442" s="7" t="s">
        <v>850</v>
      </c>
      <c r="I1442" s="231"/>
      <c r="J1442" s="34"/>
      <c r="K1442" s="34"/>
      <c r="L1442" s="34">
        <f>(L1401+L1430+L1431+L1432+L1441)*取费表!H7</f>
        <v>1745.30208148533</v>
      </c>
    </row>
    <row r="1443" ht="15" customHeight="1" spans="1:12">
      <c r="A1443" s="7"/>
      <c r="B1443" s="7" t="s">
        <v>156</v>
      </c>
      <c r="C1443" s="7"/>
      <c r="D1443" s="34"/>
      <c r="E1443" s="34"/>
      <c r="F1443" s="34">
        <f>F1441+E1441+F1442</f>
        <v>62209.5106951322</v>
      </c>
      <c r="G1443" s="7"/>
      <c r="H1443" s="7" t="s">
        <v>156</v>
      </c>
      <c r="I1443" s="7"/>
      <c r="J1443" s="34"/>
      <c r="K1443" s="34"/>
      <c r="L1443" s="34">
        <f>L1441+K1441+L1442</f>
        <v>59922.0381309962</v>
      </c>
    </row>
    <row r="1444" ht="15" customHeight="1" spans="1:12">
      <c r="A1444" s="236" t="s">
        <v>828</v>
      </c>
      <c r="B1444" s="236"/>
      <c r="C1444" s="236"/>
      <c r="D1444" s="236"/>
      <c r="E1444" s="236"/>
      <c r="F1444" s="236"/>
      <c r="G1444" s="236" t="s">
        <v>828</v>
      </c>
      <c r="H1444" s="236"/>
      <c r="I1444" s="236"/>
      <c r="J1444" s="236"/>
      <c r="K1444" s="236"/>
      <c r="L1444" s="236"/>
    </row>
    <row r="1445" ht="15" customHeight="1" spans="1:12">
      <c r="A1445" s="278" t="s">
        <v>1037</v>
      </c>
      <c r="B1445" s="272"/>
      <c r="C1445" s="272"/>
      <c r="D1445" s="272"/>
      <c r="E1445" s="272"/>
      <c r="F1445" s="272"/>
      <c r="G1445" s="278" t="s">
        <v>1038</v>
      </c>
      <c r="H1445" s="272"/>
      <c r="I1445" s="272"/>
      <c r="J1445" s="272"/>
      <c r="K1445" s="272"/>
      <c r="L1445" s="272"/>
    </row>
    <row r="1446" ht="15" customHeight="1" spans="1:12">
      <c r="A1446" s="228" t="s">
        <v>1032</v>
      </c>
      <c r="B1446" s="228"/>
      <c r="C1446" s="229"/>
      <c r="D1446" s="229"/>
      <c r="E1446" s="228" t="s">
        <v>832</v>
      </c>
      <c r="F1446" s="228"/>
      <c r="G1446" s="228" t="s">
        <v>1032</v>
      </c>
      <c r="H1446" s="228"/>
      <c r="I1446" s="229"/>
      <c r="J1446" s="229"/>
      <c r="K1446" s="228" t="s">
        <v>832</v>
      </c>
      <c r="L1446" s="228"/>
    </row>
    <row r="1447" ht="15" customHeight="1" spans="1:12">
      <c r="A1447" s="146" t="s">
        <v>911</v>
      </c>
      <c r="B1447" s="233"/>
      <c r="C1447" s="233"/>
      <c r="D1447" s="233"/>
      <c r="E1447" s="233"/>
      <c r="F1447" s="147"/>
      <c r="G1447" s="146" t="s">
        <v>911</v>
      </c>
      <c r="H1447" s="233"/>
      <c r="I1447" s="233"/>
      <c r="J1447" s="233"/>
      <c r="K1447" s="233"/>
      <c r="L1447" s="147"/>
    </row>
    <row r="1448" ht="15" customHeight="1" spans="1:12">
      <c r="A1448" s="7" t="s">
        <v>104</v>
      </c>
      <c r="B1448" s="7" t="s">
        <v>835</v>
      </c>
      <c r="C1448" s="7" t="s">
        <v>159</v>
      </c>
      <c r="D1448" s="7" t="s">
        <v>422</v>
      </c>
      <c r="E1448" s="7" t="s">
        <v>160</v>
      </c>
      <c r="F1448" s="7" t="s">
        <v>18</v>
      </c>
      <c r="G1448" s="7" t="s">
        <v>104</v>
      </c>
      <c r="H1448" s="7" t="s">
        <v>835</v>
      </c>
      <c r="I1448" s="7" t="s">
        <v>159</v>
      </c>
      <c r="J1448" s="7" t="s">
        <v>422</v>
      </c>
      <c r="K1448" s="7" t="s">
        <v>160</v>
      </c>
      <c r="L1448" s="7" t="s">
        <v>18</v>
      </c>
    </row>
    <row r="1449" ht="15" customHeight="1" spans="1:12">
      <c r="A1449" s="7" t="s">
        <v>836</v>
      </c>
      <c r="B1449" s="7" t="s">
        <v>837</v>
      </c>
      <c r="C1449" s="7"/>
      <c r="D1449" s="7"/>
      <c r="E1449" s="7"/>
      <c r="F1449" s="34">
        <f>F1450+F1474+F1475</f>
        <v>35748.1969820062</v>
      </c>
      <c r="G1449" s="7" t="s">
        <v>836</v>
      </c>
      <c r="H1449" s="7" t="s">
        <v>837</v>
      </c>
      <c r="I1449" s="7"/>
      <c r="J1449" s="7"/>
      <c r="K1449" s="7"/>
      <c r="L1449" s="34">
        <f>L1450+L1474+L1475</f>
        <v>36275.990001175</v>
      </c>
    </row>
    <row r="1450" ht="15" customHeight="1" spans="1:12">
      <c r="A1450" s="7" t="s">
        <v>539</v>
      </c>
      <c r="B1450" s="7" t="s">
        <v>838</v>
      </c>
      <c r="C1450" s="7"/>
      <c r="D1450" s="7"/>
      <c r="E1450" s="7"/>
      <c r="F1450" s="34">
        <f>F1451+F1454+F1464+F1471</f>
        <v>34110.8749828303</v>
      </c>
      <c r="G1450" s="7" t="s">
        <v>539</v>
      </c>
      <c r="H1450" s="7" t="s">
        <v>838</v>
      </c>
      <c r="I1450" s="7"/>
      <c r="J1450" s="7"/>
      <c r="K1450" s="7"/>
      <c r="L1450" s="34">
        <f>L1451+L1454+L1464+L1471</f>
        <v>34614.4942759303</v>
      </c>
    </row>
    <row r="1451" ht="15" customHeight="1" spans="1:12">
      <c r="A1451" s="7">
        <v>1</v>
      </c>
      <c r="B1451" s="7" t="s">
        <v>839</v>
      </c>
      <c r="C1451" s="7" t="s">
        <v>840</v>
      </c>
      <c r="D1451" s="34"/>
      <c r="E1451" s="42">
        <f>SUM(E1452:E1453)</f>
        <v>1106</v>
      </c>
      <c r="F1451" s="69">
        <f>SUM(F1452:F1453)</f>
        <v>8252.5168</v>
      </c>
      <c r="G1451" s="7">
        <v>1</v>
      </c>
      <c r="H1451" s="7" t="s">
        <v>839</v>
      </c>
      <c r="I1451" s="7" t="s">
        <v>840</v>
      </c>
      <c r="J1451" s="34"/>
      <c r="K1451" s="42">
        <f>SUM(K1452:K1453)</f>
        <v>1106</v>
      </c>
      <c r="L1451" s="69">
        <f>SUM(L1452:L1453)</f>
        <v>8252.5168</v>
      </c>
    </row>
    <row r="1452" ht="15" customHeight="1" spans="1:12">
      <c r="A1452" s="7"/>
      <c r="B1452" s="7" t="s">
        <v>841</v>
      </c>
      <c r="C1452" s="7" t="s">
        <v>840</v>
      </c>
      <c r="D1452" s="69">
        <f>D1358</f>
        <v>8.1</v>
      </c>
      <c r="E1452" s="42">
        <f>1003.7*0.8</f>
        <v>802.96</v>
      </c>
      <c r="F1452" s="69">
        <f>D1452*E1452</f>
        <v>6503.976</v>
      </c>
      <c r="G1452" s="7"/>
      <c r="H1452" s="7" t="s">
        <v>841</v>
      </c>
      <c r="I1452" s="7" t="s">
        <v>840</v>
      </c>
      <c r="J1452" s="69">
        <f>D1452</f>
        <v>8.1</v>
      </c>
      <c r="K1452" s="42">
        <f>1003.7*0.8</f>
        <v>802.96</v>
      </c>
      <c r="L1452" s="69">
        <f t="shared" ref="L1452:L1462" si="90">J1452*K1452</f>
        <v>6503.976</v>
      </c>
    </row>
    <row r="1453" ht="15" customHeight="1" spans="1:12">
      <c r="A1453" s="7"/>
      <c r="B1453" s="7" t="s">
        <v>842</v>
      </c>
      <c r="C1453" s="7" t="s">
        <v>840</v>
      </c>
      <c r="D1453" s="69">
        <f>D1359</f>
        <v>5.77</v>
      </c>
      <c r="E1453" s="42">
        <f>378.8*0.8</f>
        <v>303.04</v>
      </c>
      <c r="F1453" s="69">
        <f>D1453*E1453</f>
        <v>1748.5408</v>
      </c>
      <c r="G1453" s="7"/>
      <c r="H1453" s="7" t="s">
        <v>842</v>
      </c>
      <c r="I1453" s="7" t="s">
        <v>840</v>
      </c>
      <c r="J1453" s="69">
        <f>D1453</f>
        <v>5.77</v>
      </c>
      <c r="K1453" s="42">
        <f>378.8*0.8</f>
        <v>303.04</v>
      </c>
      <c r="L1453" s="69">
        <f t="shared" si="90"/>
        <v>1748.5408</v>
      </c>
    </row>
    <row r="1454" ht="15" customHeight="1" spans="1:12">
      <c r="A1454" s="7">
        <v>2</v>
      </c>
      <c r="B1454" s="7" t="s">
        <v>912</v>
      </c>
      <c r="C1454" s="7"/>
      <c r="D1454" s="34"/>
      <c r="E1454" s="34"/>
      <c r="F1454" s="34">
        <f>SUM(F1455:F1463)</f>
        <v>23063.598028575</v>
      </c>
      <c r="G1454" s="7">
        <v>2</v>
      </c>
      <c r="H1454" s="7" t="s">
        <v>912</v>
      </c>
      <c r="I1454" s="7"/>
      <c r="J1454" s="34"/>
      <c r="K1454" s="34"/>
      <c r="L1454" s="34">
        <f>SUM(L1455:L1463)</f>
        <v>23567.217321675</v>
      </c>
    </row>
    <row r="1455" ht="15" customHeight="1" spans="1:12">
      <c r="A1455" s="7"/>
      <c r="B1455" s="273" t="s">
        <v>996</v>
      </c>
      <c r="C1455" s="273" t="s">
        <v>169</v>
      </c>
      <c r="D1455" s="34">
        <f>D1361</f>
        <v>2238.008025</v>
      </c>
      <c r="E1455" s="34">
        <v>0.71</v>
      </c>
      <c r="F1455" s="34">
        <f t="shared" ref="F1455:F1462" si="91">D1455*E1455</f>
        <v>1588.98569775</v>
      </c>
      <c r="G1455" s="7"/>
      <c r="H1455" s="273" t="s">
        <v>996</v>
      </c>
      <c r="I1455" s="273" t="s">
        <v>169</v>
      </c>
      <c r="J1455" s="34">
        <f t="shared" ref="J1455:J1460" si="92">D1455</f>
        <v>2238.008025</v>
      </c>
      <c r="K1455" s="34">
        <v>0.71</v>
      </c>
      <c r="L1455" s="34">
        <f t="shared" si="90"/>
        <v>1588.98569775</v>
      </c>
    </row>
    <row r="1456" ht="15" customHeight="1" spans="1:12">
      <c r="A1456" s="7"/>
      <c r="B1456" s="273" t="s">
        <v>997</v>
      </c>
      <c r="C1456" s="273" t="s">
        <v>863</v>
      </c>
      <c r="D1456" s="34">
        <f>基础材料表!D34</f>
        <v>4.44</v>
      </c>
      <c r="E1456" s="34">
        <v>68.86</v>
      </c>
      <c r="F1456" s="34">
        <f t="shared" si="91"/>
        <v>305.7384</v>
      </c>
      <c r="G1456" s="7"/>
      <c r="H1456" s="273" t="s">
        <v>997</v>
      </c>
      <c r="I1456" s="273" t="s">
        <v>863</v>
      </c>
      <c r="J1456" s="34">
        <f t="shared" si="92"/>
        <v>4.44</v>
      </c>
      <c r="K1456" s="34">
        <v>68.86</v>
      </c>
      <c r="L1456" s="34">
        <f t="shared" si="90"/>
        <v>305.7384</v>
      </c>
    </row>
    <row r="1457" ht="15" customHeight="1" spans="1:12">
      <c r="A1457" s="7"/>
      <c r="B1457" s="273" t="s">
        <v>998</v>
      </c>
      <c r="C1457" s="273" t="s">
        <v>863</v>
      </c>
      <c r="D1457" s="34">
        <f>基础材料表!D30</f>
        <v>4.5</v>
      </c>
      <c r="E1457" s="34">
        <v>36.77</v>
      </c>
      <c r="F1457" s="34">
        <f t="shared" si="91"/>
        <v>165.465</v>
      </c>
      <c r="G1457" s="7"/>
      <c r="H1457" s="273" t="s">
        <v>998</v>
      </c>
      <c r="I1457" s="273" t="s">
        <v>863</v>
      </c>
      <c r="J1457" s="34">
        <f t="shared" si="92"/>
        <v>4.5</v>
      </c>
      <c r="K1457" s="34">
        <v>36.77</v>
      </c>
      <c r="L1457" s="34">
        <f t="shared" si="90"/>
        <v>165.465</v>
      </c>
    </row>
    <row r="1458" ht="15" customHeight="1" spans="1:12">
      <c r="A1458" s="7"/>
      <c r="B1458" s="273" t="s">
        <v>999</v>
      </c>
      <c r="C1458" s="273" t="s">
        <v>863</v>
      </c>
      <c r="D1458" s="34">
        <f>基础材料表!D16</f>
        <v>5.15</v>
      </c>
      <c r="E1458" s="34">
        <v>30.87</v>
      </c>
      <c r="F1458" s="34">
        <f t="shared" si="91"/>
        <v>158.9805</v>
      </c>
      <c r="G1458" s="7"/>
      <c r="H1458" s="273" t="s">
        <v>999</v>
      </c>
      <c r="I1458" s="273" t="s">
        <v>863</v>
      </c>
      <c r="J1458" s="34">
        <f t="shared" si="92"/>
        <v>5.15</v>
      </c>
      <c r="K1458" s="34">
        <v>30.87</v>
      </c>
      <c r="L1458" s="34">
        <f t="shared" si="90"/>
        <v>158.9805</v>
      </c>
    </row>
    <row r="1459" ht="15" customHeight="1" spans="1:12">
      <c r="A1459" s="7"/>
      <c r="B1459" s="273" t="s">
        <v>1000</v>
      </c>
      <c r="C1459" s="273" t="s">
        <v>863</v>
      </c>
      <c r="D1459" s="34">
        <f>基础材料表!D28</f>
        <v>4.5</v>
      </c>
      <c r="E1459" s="34">
        <v>273.78</v>
      </c>
      <c r="F1459" s="34">
        <f t="shared" si="91"/>
        <v>1232.01</v>
      </c>
      <c r="G1459" s="7"/>
      <c r="H1459" s="273" t="s">
        <v>1000</v>
      </c>
      <c r="I1459" s="273" t="s">
        <v>863</v>
      </c>
      <c r="J1459" s="34">
        <f t="shared" si="92"/>
        <v>4.5</v>
      </c>
      <c r="K1459" s="34">
        <v>273.78</v>
      </c>
      <c r="L1459" s="34">
        <f t="shared" si="90"/>
        <v>1232.01</v>
      </c>
    </row>
    <row r="1460" ht="15" customHeight="1" spans="1:12">
      <c r="A1460" s="7"/>
      <c r="B1460" s="273" t="s">
        <v>1002</v>
      </c>
      <c r="C1460" s="273" t="s">
        <v>863</v>
      </c>
      <c r="D1460" s="34">
        <f>基础材料表!D5</f>
        <v>5.97</v>
      </c>
      <c r="E1460" s="34">
        <v>5.75</v>
      </c>
      <c r="F1460" s="34">
        <f t="shared" si="91"/>
        <v>34.3275</v>
      </c>
      <c r="G1460" s="7"/>
      <c r="H1460" s="273" t="s">
        <v>1002</v>
      </c>
      <c r="I1460" s="273" t="s">
        <v>863</v>
      </c>
      <c r="J1460" s="34">
        <f t="shared" si="92"/>
        <v>5.97</v>
      </c>
      <c r="K1460" s="34">
        <v>5.75</v>
      </c>
      <c r="L1460" s="34">
        <f t="shared" si="90"/>
        <v>34.3275</v>
      </c>
    </row>
    <row r="1461" ht="15" customHeight="1" spans="1:12">
      <c r="A1461" s="7"/>
      <c r="B1461" s="7" t="s">
        <v>1016</v>
      </c>
      <c r="C1461" s="7" t="s">
        <v>169</v>
      </c>
      <c r="D1461" s="34">
        <f>配合比!M10</f>
        <v>183.2481895</v>
      </c>
      <c r="E1461" s="34">
        <v>103</v>
      </c>
      <c r="F1461" s="34">
        <f t="shared" si="91"/>
        <v>18874.5635185</v>
      </c>
      <c r="G1461" s="7"/>
      <c r="H1461" s="7" t="s">
        <v>1039</v>
      </c>
      <c r="I1461" s="7" t="s">
        <v>169</v>
      </c>
      <c r="J1461" s="34">
        <f>配合比!M11</f>
        <v>188.0418245</v>
      </c>
      <c r="K1461" s="34">
        <v>103</v>
      </c>
      <c r="L1461" s="34">
        <f t="shared" si="90"/>
        <v>19368.3079235</v>
      </c>
    </row>
    <row r="1462" ht="15" customHeight="1" spans="1:12">
      <c r="A1462" s="7"/>
      <c r="B1462" s="7" t="s">
        <v>913</v>
      </c>
      <c r="C1462" s="7" t="s">
        <v>169</v>
      </c>
      <c r="D1462" s="34">
        <f>D1368</f>
        <v>3.59</v>
      </c>
      <c r="E1462" s="34">
        <v>70</v>
      </c>
      <c r="F1462" s="34">
        <f t="shared" si="91"/>
        <v>251.3</v>
      </c>
      <c r="G1462" s="7"/>
      <c r="H1462" s="7" t="s">
        <v>913</v>
      </c>
      <c r="I1462" s="7" t="s">
        <v>169</v>
      </c>
      <c r="J1462" s="34">
        <f>D1462</f>
        <v>3.59</v>
      </c>
      <c r="K1462" s="34">
        <v>70</v>
      </c>
      <c r="L1462" s="34">
        <f t="shared" si="90"/>
        <v>251.3</v>
      </c>
    </row>
    <row r="1463" ht="15" customHeight="1" spans="1:12">
      <c r="A1463" s="7"/>
      <c r="B1463" s="7" t="s">
        <v>1004</v>
      </c>
      <c r="C1463" s="9" t="s">
        <v>845</v>
      </c>
      <c r="D1463" s="34">
        <f>SUM(F1455:F1462)</f>
        <v>22611.37061625</v>
      </c>
      <c r="E1463" s="34">
        <v>2</v>
      </c>
      <c r="F1463" s="34">
        <f>D1463*E1463/100</f>
        <v>452.227412325</v>
      </c>
      <c r="G1463" s="7"/>
      <c r="H1463" s="7" t="s">
        <v>1004</v>
      </c>
      <c r="I1463" s="9" t="s">
        <v>845</v>
      </c>
      <c r="J1463" s="34">
        <f>SUM(L1455:L1462)</f>
        <v>23105.11502125</v>
      </c>
      <c r="K1463" s="34">
        <v>2</v>
      </c>
      <c r="L1463" s="34">
        <f>J1463*K1463/100</f>
        <v>462.102300425</v>
      </c>
    </row>
    <row r="1464" ht="15" customHeight="1" spans="1:12">
      <c r="A1464" s="7">
        <v>3</v>
      </c>
      <c r="B1464" s="7" t="s">
        <v>859</v>
      </c>
      <c r="C1464" s="7"/>
      <c r="D1464" s="34"/>
      <c r="E1464" s="34"/>
      <c r="F1464" s="34">
        <f>SUM(F1465:F1470)</f>
        <v>803.103962867172</v>
      </c>
      <c r="G1464" s="7">
        <v>3</v>
      </c>
      <c r="H1464" s="7" t="s">
        <v>859</v>
      </c>
      <c r="I1464" s="7"/>
      <c r="J1464" s="34"/>
      <c r="K1464" s="34"/>
      <c r="L1464" s="34">
        <f>SUM(L1465:L1470)</f>
        <v>803.103962867172</v>
      </c>
    </row>
    <row r="1465" ht="15" customHeight="1" spans="1:12">
      <c r="A1465" s="7"/>
      <c r="B1465" s="7" t="s">
        <v>1005</v>
      </c>
      <c r="C1465" s="7" t="s">
        <v>428</v>
      </c>
      <c r="D1465" s="34">
        <f>D1371</f>
        <v>49.389824491424</v>
      </c>
      <c r="E1465" s="34">
        <v>0.29</v>
      </c>
      <c r="F1465" s="34">
        <f>D1465*E1465</f>
        <v>14.323049102513</v>
      </c>
      <c r="G1465" s="7"/>
      <c r="H1465" s="7" t="s">
        <v>1005</v>
      </c>
      <c r="I1465" s="7" t="s">
        <v>428</v>
      </c>
      <c r="J1465" s="34">
        <f>D1465</f>
        <v>49.389824491424</v>
      </c>
      <c r="K1465" s="34">
        <v>0.29</v>
      </c>
      <c r="L1465" s="34">
        <f t="shared" ref="L1465:L1469" si="93">J1465*K1465</f>
        <v>14.323049102513</v>
      </c>
    </row>
    <row r="1466" ht="15" customHeight="1" spans="1:12">
      <c r="A1466" s="7"/>
      <c r="B1466" s="7" t="s">
        <v>1007</v>
      </c>
      <c r="C1466" s="7" t="s">
        <v>428</v>
      </c>
      <c r="D1466" s="34">
        <f>D1372</f>
        <v>8.3371858795373</v>
      </c>
      <c r="E1466" s="251">
        <v>8.59</v>
      </c>
      <c r="F1466" s="34">
        <f>D1466*E1466</f>
        <v>71.6164267052254</v>
      </c>
      <c r="G1466" s="7"/>
      <c r="H1466" s="7" t="s">
        <v>1007</v>
      </c>
      <c r="I1466" s="7" t="s">
        <v>428</v>
      </c>
      <c r="J1466" s="34">
        <f>D1466</f>
        <v>8.3371858795373</v>
      </c>
      <c r="K1466" s="251">
        <v>8.59</v>
      </c>
      <c r="L1466" s="34">
        <f t="shared" si="93"/>
        <v>71.6164267052254</v>
      </c>
    </row>
    <row r="1467" ht="15" customHeight="1" spans="1:12">
      <c r="A1467" s="7"/>
      <c r="B1467" s="7" t="s">
        <v>1008</v>
      </c>
      <c r="C1467" s="7" t="s">
        <v>428</v>
      </c>
      <c r="D1467" s="34">
        <f>D1373</f>
        <v>23.9179521340247</v>
      </c>
      <c r="E1467" s="34">
        <v>18.54</v>
      </c>
      <c r="F1467" s="34">
        <f>D1467*E1467</f>
        <v>443.438832564818</v>
      </c>
      <c r="G1467" s="7"/>
      <c r="H1467" s="7" t="s">
        <v>1008</v>
      </c>
      <c r="I1467" s="7" t="s">
        <v>428</v>
      </c>
      <c r="J1467" s="34">
        <f>D1467</f>
        <v>23.9179521340247</v>
      </c>
      <c r="K1467" s="34">
        <v>18.54</v>
      </c>
      <c r="L1467" s="34">
        <f t="shared" si="93"/>
        <v>443.438832564818</v>
      </c>
    </row>
    <row r="1468" ht="15" customHeight="1" spans="1:12">
      <c r="A1468" s="7"/>
      <c r="B1468" s="7" t="s">
        <v>1021</v>
      </c>
      <c r="C1468" s="7" t="s">
        <v>428</v>
      </c>
      <c r="D1468" s="34">
        <f>D1374</f>
        <v>2.41252772237734</v>
      </c>
      <c r="E1468" s="34">
        <v>30</v>
      </c>
      <c r="F1468" s="34">
        <f>D1468*E1468</f>
        <v>72.3758316713203</v>
      </c>
      <c r="G1468" s="7"/>
      <c r="H1468" s="7" t="s">
        <v>1021</v>
      </c>
      <c r="I1468" s="7" t="s">
        <v>428</v>
      </c>
      <c r="J1468" s="34">
        <f>D1468</f>
        <v>2.41252772237734</v>
      </c>
      <c r="K1468" s="34">
        <v>30</v>
      </c>
      <c r="L1468" s="34">
        <f t="shared" si="93"/>
        <v>72.3758316713203</v>
      </c>
    </row>
    <row r="1469" ht="15" customHeight="1" spans="1:12">
      <c r="A1469" s="7"/>
      <c r="B1469" s="7" t="s">
        <v>967</v>
      </c>
      <c r="C1469" s="7" t="s">
        <v>428</v>
      </c>
      <c r="D1469" s="34">
        <f>D1375</f>
        <v>0.813242919824491</v>
      </c>
      <c r="E1469" s="34">
        <v>83</v>
      </c>
      <c r="F1469" s="34">
        <f>D1469*E1469</f>
        <v>67.4991623454328</v>
      </c>
      <c r="G1469" s="7"/>
      <c r="H1469" s="7" t="s">
        <v>967</v>
      </c>
      <c r="I1469" s="7" t="s">
        <v>428</v>
      </c>
      <c r="J1469" s="34">
        <f>D1469</f>
        <v>0.813242919824491</v>
      </c>
      <c r="K1469" s="34">
        <v>83</v>
      </c>
      <c r="L1469" s="34">
        <f t="shared" si="93"/>
        <v>67.4991623454328</v>
      </c>
    </row>
    <row r="1470" ht="15" customHeight="1" spans="1:12">
      <c r="A1470" s="7"/>
      <c r="B1470" s="7" t="s">
        <v>918</v>
      </c>
      <c r="C1470" s="9" t="s">
        <v>845</v>
      </c>
      <c r="D1470" s="34">
        <f>SUM(F1465:F1469)</f>
        <v>669.25330238931</v>
      </c>
      <c r="E1470" s="247">
        <v>20</v>
      </c>
      <c r="F1470" s="34">
        <f>D1470*E1470/100</f>
        <v>133.850660477862</v>
      </c>
      <c r="G1470" s="7"/>
      <c r="H1470" s="7" t="s">
        <v>918</v>
      </c>
      <c r="I1470" s="9" t="s">
        <v>845</v>
      </c>
      <c r="J1470" s="34">
        <f>SUM(L1465:L1469)</f>
        <v>669.25330238931</v>
      </c>
      <c r="K1470" s="247">
        <v>20</v>
      </c>
      <c r="L1470" s="34">
        <f>J1470*K1470/100</f>
        <v>133.850660477862</v>
      </c>
    </row>
    <row r="1471" ht="15" customHeight="1" spans="1:12">
      <c r="A1471" s="5">
        <v>4</v>
      </c>
      <c r="B1471" s="5" t="s">
        <v>1010</v>
      </c>
      <c r="C1471" s="275"/>
      <c r="D1471" s="276"/>
      <c r="E1471" s="276"/>
      <c r="F1471" s="276">
        <f>SUM(F1472:F1473)</f>
        <v>1991.65619138815</v>
      </c>
      <c r="G1471" s="5">
        <v>4</v>
      </c>
      <c r="H1471" s="5" t="s">
        <v>1010</v>
      </c>
      <c r="I1471" s="275"/>
      <c r="J1471" s="276"/>
      <c r="K1471" s="276"/>
      <c r="L1471" s="276">
        <f>SUM(L1472:L1473)</f>
        <v>1991.65619138815</v>
      </c>
    </row>
    <row r="1472" ht="15" customHeight="1" spans="1:12">
      <c r="A1472" s="7"/>
      <c r="B1472" s="123" t="s">
        <v>681</v>
      </c>
      <c r="C1472" s="123" t="s">
        <v>169</v>
      </c>
      <c r="D1472" s="274">
        <f>$F$2795/100</f>
        <v>5.03319379720782</v>
      </c>
      <c r="E1472" s="274">
        <v>103</v>
      </c>
      <c r="F1472" s="34">
        <f>D1472*E1472</f>
        <v>518.418961112405</v>
      </c>
      <c r="G1472" s="7"/>
      <c r="H1472" s="123" t="s">
        <v>681</v>
      </c>
      <c r="I1472" s="123" t="s">
        <v>169</v>
      </c>
      <c r="J1472" s="274">
        <f>$F$2795/100</f>
        <v>5.03319379720782</v>
      </c>
      <c r="K1472" s="274">
        <v>103</v>
      </c>
      <c r="L1472" s="34">
        <f>J1472*K1472</f>
        <v>518.418961112405</v>
      </c>
    </row>
    <row r="1473" ht="15" customHeight="1" spans="1:12">
      <c r="A1473" s="7"/>
      <c r="B1473" s="123" t="s">
        <v>682</v>
      </c>
      <c r="C1473" s="123" t="s">
        <v>169</v>
      </c>
      <c r="D1473" s="274">
        <f>$F$2813/100</f>
        <v>14.303274080347</v>
      </c>
      <c r="E1473" s="274">
        <v>103</v>
      </c>
      <c r="F1473" s="34">
        <f>D1473*E1473</f>
        <v>1473.23723027574</v>
      </c>
      <c r="G1473" s="7"/>
      <c r="H1473" s="123" t="s">
        <v>682</v>
      </c>
      <c r="I1473" s="123" t="s">
        <v>169</v>
      </c>
      <c r="J1473" s="274">
        <f>$F$2813/100</f>
        <v>14.303274080347</v>
      </c>
      <c r="K1473" s="274">
        <v>103</v>
      </c>
      <c r="L1473" s="34">
        <f>J1473*K1473</f>
        <v>1473.23723027574</v>
      </c>
    </row>
    <row r="1474" ht="15" customHeight="1" spans="1:12">
      <c r="A1474" s="7" t="s">
        <v>564</v>
      </c>
      <c r="B1474" s="7" t="s">
        <v>846</v>
      </c>
      <c r="C1474" s="230">
        <f>取费表!$C$7</f>
        <v>0.048</v>
      </c>
      <c r="D1474" s="274"/>
      <c r="E1474" s="274">
        <f>F1450</f>
        <v>34110.8749828303</v>
      </c>
      <c r="F1474" s="34">
        <f>E1474*C1474</f>
        <v>1637.32199917586</v>
      </c>
      <c r="G1474" s="7" t="s">
        <v>564</v>
      </c>
      <c r="H1474" s="7" t="s">
        <v>846</v>
      </c>
      <c r="I1474" s="230">
        <f>取费表!$C$7</f>
        <v>0.048</v>
      </c>
      <c r="J1474" s="274"/>
      <c r="K1474" s="274">
        <f>L1450</f>
        <v>34614.4942759303</v>
      </c>
      <c r="L1474" s="34">
        <f t="shared" ref="L1474:L1477" si="94">K1474*I1474</f>
        <v>1661.49572524466</v>
      </c>
    </row>
    <row r="1475" ht="15" customHeight="1" spans="1:12">
      <c r="A1475" s="7"/>
      <c r="B1475" s="7"/>
      <c r="C1475" s="230"/>
      <c r="D1475" s="274"/>
      <c r="E1475" s="274"/>
      <c r="F1475" s="34"/>
      <c r="G1475" s="7"/>
      <c r="H1475" s="7"/>
      <c r="I1475" s="230"/>
      <c r="J1475" s="274"/>
      <c r="K1475" s="274"/>
      <c r="L1475" s="34"/>
    </row>
    <row r="1476" ht="15" customHeight="1" spans="1:12">
      <c r="A1476" s="7" t="s">
        <v>439</v>
      </c>
      <c r="B1476" s="7" t="s">
        <v>847</v>
      </c>
      <c r="C1476" s="230">
        <f>取费表!$E$7</f>
        <v>0.07</v>
      </c>
      <c r="D1476" s="274"/>
      <c r="E1476" s="274">
        <f>F1449</f>
        <v>35748.1969820062</v>
      </c>
      <c r="F1476" s="34">
        <f>E1476*C1476</f>
        <v>2502.37378874043</v>
      </c>
      <c r="G1476" s="7" t="s">
        <v>439</v>
      </c>
      <c r="H1476" s="7" t="s">
        <v>847</v>
      </c>
      <c r="I1476" s="230">
        <f>取费表!$E$7</f>
        <v>0.07</v>
      </c>
      <c r="J1476" s="274"/>
      <c r="K1476" s="274">
        <f>L1449</f>
        <v>36275.990001175</v>
      </c>
      <c r="L1476" s="34">
        <f t="shared" si="94"/>
        <v>2539.31930008225</v>
      </c>
    </row>
    <row r="1477" ht="15" customHeight="1" spans="1:12">
      <c r="A1477" s="7" t="s">
        <v>83</v>
      </c>
      <c r="B1477" s="7" t="s">
        <v>848</v>
      </c>
      <c r="C1477" s="230">
        <f>取费表!$F$7</f>
        <v>0.07</v>
      </c>
      <c r="D1477" s="274"/>
      <c r="E1477" s="274">
        <f>F1476+F1449</f>
        <v>38250.5707707466</v>
      </c>
      <c r="F1477" s="34">
        <f>E1477*C1477</f>
        <v>2677.53995395226</v>
      </c>
      <c r="G1477" s="7" t="s">
        <v>83</v>
      </c>
      <c r="H1477" s="7" t="s">
        <v>848</v>
      </c>
      <c r="I1477" s="230">
        <f>取费表!$F$7</f>
        <v>0.07</v>
      </c>
      <c r="J1477" s="274"/>
      <c r="K1477" s="274">
        <f>L1476+L1449</f>
        <v>38815.3093012572</v>
      </c>
      <c r="L1477" s="34">
        <f t="shared" si="94"/>
        <v>2717.07165108801</v>
      </c>
    </row>
    <row r="1478" ht="15" customHeight="1" spans="1:12">
      <c r="A1478" s="5" t="s">
        <v>121</v>
      </c>
      <c r="B1478" s="5" t="s">
        <v>861</v>
      </c>
      <c r="C1478" s="275"/>
      <c r="D1478" s="276"/>
      <c r="E1478" s="5"/>
      <c r="F1478" s="277">
        <f>F1479+F1484</f>
        <v>9368.02411143604</v>
      </c>
      <c r="G1478" s="5" t="s">
        <v>121</v>
      </c>
      <c r="H1478" s="5" t="s">
        <v>861</v>
      </c>
      <c r="I1478" s="275"/>
      <c r="J1478" s="276"/>
      <c r="K1478" s="5"/>
      <c r="L1478" s="277">
        <f>L1479+L1484</f>
        <v>9652.17351194332</v>
      </c>
    </row>
    <row r="1479" ht="15" customHeight="1" spans="1:12">
      <c r="A1479" s="7">
        <v>1</v>
      </c>
      <c r="B1479" s="7" t="s">
        <v>1011</v>
      </c>
      <c r="C1479" s="9"/>
      <c r="D1479" s="34"/>
      <c r="E1479" s="7"/>
      <c r="F1479" s="69">
        <f>SUM(F1480:F1483)</f>
        <v>9355.65271143604</v>
      </c>
      <c r="G1479" s="7">
        <v>1</v>
      </c>
      <c r="H1479" s="7" t="s">
        <v>1011</v>
      </c>
      <c r="I1479" s="9"/>
      <c r="J1479" s="34"/>
      <c r="K1479" s="7"/>
      <c r="L1479" s="69">
        <f>SUM(L1480:L1483)</f>
        <v>9639.80211194332</v>
      </c>
    </row>
    <row r="1480" ht="15" customHeight="1" spans="1:12">
      <c r="A1480" s="7"/>
      <c r="B1480" s="7"/>
      <c r="C1480" s="7"/>
      <c r="D1480" s="34"/>
      <c r="E1480" s="34"/>
      <c r="F1480" s="69"/>
      <c r="G1480" s="7"/>
      <c r="H1480" s="7"/>
      <c r="I1480" s="7"/>
      <c r="J1480" s="34"/>
      <c r="K1480" s="34"/>
      <c r="L1480" s="69"/>
    </row>
    <row r="1481" ht="15" customHeight="1" spans="1:12">
      <c r="A1481" s="7"/>
      <c r="B1481" s="7" t="s">
        <v>979</v>
      </c>
      <c r="C1481" s="7" t="s">
        <v>200</v>
      </c>
      <c r="D1481" s="34">
        <f>D1387</f>
        <v>141.58936</v>
      </c>
      <c r="E1481" s="34">
        <f>E1461*配合比!E10</f>
        <v>35.035759</v>
      </c>
      <c r="F1481" s="69">
        <f>D1481*E1481</f>
        <v>4960.69069392424</v>
      </c>
      <c r="G1481" s="7"/>
      <c r="H1481" s="7" t="s">
        <v>979</v>
      </c>
      <c r="I1481" s="7" t="s">
        <v>200</v>
      </c>
      <c r="J1481" s="34">
        <f>D1481</f>
        <v>141.58936</v>
      </c>
      <c r="K1481" s="34">
        <f>K1461*配合比!E11</f>
        <v>37.58161</v>
      </c>
      <c r="L1481" s="69">
        <f t="shared" ref="L1481:L1483" si="95">J1481*K1481</f>
        <v>5321.1561076696</v>
      </c>
    </row>
    <row r="1482" ht="15" customHeight="1" spans="1:12">
      <c r="A1482" s="7"/>
      <c r="B1482" s="7" t="s">
        <v>961</v>
      </c>
      <c r="C1482" s="7" t="s">
        <v>169</v>
      </c>
      <c r="D1482" s="34">
        <f>D1436</f>
        <v>34.366056</v>
      </c>
      <c r="E1482" s="34">
        <f>E1461*配合比!G10</f>
        <v>54.40666</v>
      </c>
      <c r="F1482" s="69">
        <f>D1482*E1482</f>
        <v>1869.74232433296</v>
      </c>
      <c r="G1482" s="7"/>
      <c r="H1482" s="7" t="s">
        <v>961</v>
      </c>
      <c r="I1482" s="7" t="s">
        <v>169</v>
      </c>
      <c r="J1482" s="34">
        <f>D1482</f>
        <v>34.366056</v>
      </c>
      <c r="K1482" s="34">
        <f>K1461*配合比!G11</f>
        <v>52.18598</v>
      </c>
      <c r="L1482" s="69">
        <f t="shared" si="95"/>
        <v>1793.42631109488</v>
      </c>
    </row>
    <row r="1483" ht="15" customHeight="1" spans="1:12">
      <c r="A1483" s="7"/>
      <c r="B1483" s="7" t="s">
        <v>1012</v>
      </c>
      <c r="C1483" s="7" t="s">
        <v>169</v>
      </c>
      <c r="D1483" s="34">
        <f>D1389</f>
        <v>29.13701</v>
      </c>
      <c r="E1483" s="34">
        <f>E1461*配合比!I10</f>
        <v>86.667084</v>
      </c>
      <c r="F1483" s="69">
        <f>D1483*E1483</f>
        <v>2525.21969317884</v>
      </c>
      <c r="G1483" s="7"/>
      <c r="H1483" s="7" t="s">
        <v>1012</v>
      </c>
      <c r="I1483" s="7" t="s">
        <v>169</v>
      </c>
      <c r="J1483" s="34">
        <f>D1483</f>
        <v>29.13701</v>
      </c>
      <c r="K1483" s="34">
        <f>K1461*配合比!I11</f>
        <v>86.667084</v>
      </c>
      <c r="L1483" s="69">
        <f t="shared" si="95"/>
        <v>2525.21969317884</v>
      </c>
    </row>
    <row r="1484" ht="15" customHeight="1" spans="1:12">
      <c r="A1484" s="7">
        <v>2</v>
      </c>
      <c r="B1484" s="7" t="s">
        <v>1013</v>
      </c>
      <c r="C1484" s="7"/>
      <c r="D1484" s="34"/>
      <c r="E1484" s="38"/>
      <c r="F1484" s="69">
        <f>SUM(F1485:F1486)</f>
        <v>12.3714</v>
      </c>
      <c r="G1484" s="7">
        <v>2</v>
      </c>
      <c r="H1484" s="7" t="s">
        <v>1013</v>
      </c>
      <c r="I1484" s="7"/>
      <c r="J1484" s="34"/>
      <c r="K1484" s="38"/>
      <c r="L1484" s="69">
        <f>SUM(L1485:L1486)</f>
        <v>12.3714</v>
      </c>
    </row>
    <row r="1485" ht="15" customHeight="1" spans="1:12">
      <c r="A1485" s="7"/>
      <c r="B1485" s="7" t="s">
        <v>1014</v>
      </c>
      <c r="C1485" s="7" t="s">
        <v>863</v>
      </c>
      <c r="D1485" s="34">
        <f>D1391</f>
        <v>5.925</v>
      </c>
      <c r="E1485" s="38">
        <f>(E1465*7.2)</f>
        <v>2.088</v>
      </c>
      <c r="F1485" s="69">
        <f>D1485*E1485</f>
        <v>12.3714</v>
      </c>
      <c r="G1485" s="7"/>
      <c r="H1485" s="7" t="s">
        <v>1014</v>
      </c>
      <c r="I1485" s="7" t="s">
        <v>863</v>
      </c>
      <c r="J1485" s="34">
        <f>D1485</f>
        <v>5.925</v>
      </c>
      <c r="K1485" s="38">
        <f>(K1465*7.2)</f>
        <v>2.088</v>
      </c>
      <c r="L1485" s="69">
        <f>J1485*K1485</f>
        <v>12.3714</v>
      </c>
    </row>
    <row r="1486" ht="15" customHeight="1" spans="1:12">
      <c r="A1486" s="7"/>
      <c r="B1486" s="7" t="s">
        <v>862</v>
      </c>
      <c r="C1486" s="7" t="s">
        <v>863</v>
      </c>
      <c r="D1486" s="34">
        <f>D1392</f>
        <v>4.58</v>
      </c>
      <c r="E1486" s="38"/>
      <c r="F1486" s="69">
        <f>D1486*E1486</f>
        <v>0</v>
      </c>
      <c r="G1486" s="7"/>
      <c r="H1486" s="7" t="s">
        <v>862</v>
      </c>
      <c r="I1486" s="7" t="s">
        <v>863</v>
      </c>
      <c r="J1486" s="34">
        <f>D1486</f>
        <v>4.58</v>
      </c>
      <c r="K1486" s="38"/>
      <c r="L1486" s="69">
        <f>J1486*K1486</f>
        <v>0</v>
      </c>
    </row>
    <row r="1487" ht="15" customHeight="1" spans="1:12">
      <c r="A1487" s="7" t="s">
        <v>135</v>
      </c>
      <c r="B1487" s="7" t="s">
        <v>849</v>
      </c>
      <c r="C1487" s="231">
        <f>C1393</f>
        <v>0.09</v>
      </c>
      <c r="D1487" s="34"/>
      <c r="E1487" s="34">
        <f>F1478+F1477+F1476+F1449</f>
        <v>50296.1348361349</v>
      </c>
      <c r="F1487" s="34">
        <f>E1487*C1487</f>
        <v>4526.65213525214</v>
      </c>
      <c r="G1487" s="7" t="s">
        <v>135</v>
      </c>
      <c r="H1487" s="7" t="s">
        <v>849</v>
      </c>
      <c r="I1487" s="231">
        <f>C1487</f>
        <v>0.09</v>
      </c>
      <c r="J1487" s="34"/>
      <c r="K1487" s="34">
        <f>L1478+L1477+L1476+L1449</f>
        <v>51184.5544642886</v>
      </c>
      <c r="L1487" s="34">
        <f>K1487*I1487</f>
        <v>4606.60990178597</v>
      </c>
    </row>
    <row r="1488" ht="15" customHeight="1" spans="1:12">
      <c r="A1488" s="7"/>
      <c r="B1488" s="7" t="s">
        <v>850</v>
      </c>
      <c r="C1488" s="231"/>
      <c r="D1488" s="34"/>
      <c r="E1488" s="34"/>
      <c r="F1488" s="34">
        <f>(F1449+F1476+F1477+F1478+F1487)*取费表!H8</f>
        <v>1644.68360914161</v>
      </c>
      <c r="G1488" s="7"/>
      <c r="H1488" s="7" t="s">
        <v>850</v>
      </c>
      <c r="I1488" s="231"/>
      <c r="J1488" s="34"/>
      <c r="K1488" s="34"/>
      <c r="L1488" s="34">
        <f>(L1449+L1476+L1477+L1478+L1487)*取费表!H7</f>
        <v>1673.73493098224</v>
      </c>
    </row>
    <row r="1489" ht="15" customHeight="1" spans="1:12">
      <c r="A1489" s="7"/>
      <c r="B1489" s="7" t="s">
        <v>156</v>
      </c>
      <c r="C1489" s="7"/>
      <c r="D1489" s="34"/>
      <c r="E1489" s="34"/>
      <c r="F1489" s="34">
        <f>F1487+E1487+F1488</f>
        <v>56467.4705805287</v>
      </c>
      <c r="G1489" s="7"/>
      <c r="H1489" s="7" t="s">
        <v>156</v>
      </c>
      <c r="I1489" s="7"/>
      <c r="J1489" s="34"/>
      <c r="K1489" s="34"/>
      <c r="L1489" s="34">
        <f>L1487+K1487+L1488</f>
        <v>57464.8992970568</v>
      </c>
    </row>
    <row r="1490" ht="14.85" customHeight="1" spans="1:6">
      <c r="A1490" s="236" t="s">
        <v>828</v>
      </c>
      <c r="B1490" s="236"/>
      <c r="C1490" s="236"/>
      <c r="D1490" s="236"/>
      <c r="E1490" s="236"/>
      <c r="F1490" s="236"/>
    </row>
    <row r="1491" ht="17.25" customHeight="1" spans="1:6">
      <c r="A1491" s="278" t="s">
        <v>1040</v>
      </c>
      <c r="B1491" s="272"/>
      <c r="C1491" s="272"/>
      <c r="D1491" s="272"/>
      <c r="E1491" s="272"/>
      <c r="F1491" s="272"/>
    </row>
    <row r="1492" ht="14.85" customHeight="1" spans="1:6">
      <c r="A1492" s="228" t="s">
        <v>1041</v>
      </c>
      <c r="B1492" s="228"/>
      <c r="C1492" s="229"/>
      <c r="D1492" s="229"/>
      <c r="E1492" s="228" t="s">
        <v>832</v>
      </c>
      <c r="F1492" s="228"/>
    </row>
    <row r="1493" ht="15.75" customHeight="1" spans="1:6">
      <c r="A1493" s="146" t="s">
        <v>911</v>
      </c>
      <c r="B1493" s="233"/>
      <c r="C1493" s="233"/>
      <c r="D1493" s="233"/>
      <c r="E1493" s="233"/>
      <c r="F1493" s="147"/>
    </row>
    <row r="1494" ht="14.85" customHeight="1" spans="1:6">
      <c r="A1494" s="7" t="s">
        <v>104</v>
      </c>
      <c r="B1494" s="7" t="s">
        <v>835</v>
      </c>
      <c r="C1494" s="7" t="s">
        <v>159</v>
      </c>
      <c r="D1494" s="7" t="s">
        <v>422</v>
      </c>
      <c r="E1494" s="7" t="s">
        <v>160</v>
      </c>
      <c r="F1494" s="7" t="s">
        <v>18</v>
      </c>
    </row>
    <row r="1495" ht="14.85" customHeight="1" spans="1:6">
      <c r="A1495" s="7" t="s">
        <v>836</v>
      </c>
      <c r="B1495" s="7" t="s">
        <v>837</v>
      </c>
      <c r="C1495" s="7"/>
      <c r="D1495" s="7"/>
      <c r="E1495" s="7"/>
      <c r="F1495" s="34">
        <f>F1496+F1522+F1523</f>
        <v>30755.9412830998</v>
      </c>
    </row>
    <row r="1496" ht="14.85" customHeight="1" spans="1:6">
      <c r="A1496" s="7" t="s">
        <v>539</v>
      </c>
      <c r="B1496" s="7" t="s">
        <v>838</v>
      </c>
      <c r="C1496" s="7"/>
      <c r="D1496" s="7"/>
      <c r="E1496" s="7"/>
      <c r="F1496" s="34">
        <f>F1497+F1500+F1511+F1519</f>
        <v>29347.2722166982</v>
      </c>
    </row>
    <row r="1497" ht="14.85" customHeight="1" spans="1:6">
      <c r="A1497" s="7">
        <v>1</v>
      </c>
      <c r="B1497" s="7" t="s">
        <v>839</v>
      </c>
      <c r="C1497" s="7" t="s">
        <v>840</v>
      </c>
      <c r="D1497" s="34"/>
      <c r="E1497" s="42">
        <f>SUM(E1498:E1499)</f>
        <v>1000.9</v>
      </c>
      <c r="F1497" s="69">
        <f>SUM(F1498:F1499)</f>
        <v>7221.657</v>
      </c>
    </row>
    <row r="1498" s="217" customFormat="1" ht="14.85" customHeight="1" spans="1:6">
      <c r="A1498" s="7"/>
      <c r="B1498" s="7" t="s">
        <v>841</v>
      </c>
      <c r="C1498" s="7" t="s">
        <v>840</v>
      </c>
      <c r="D1498" s="69">
        <f>D1033</f>
        <v>8.1</v>
      </c>
      <c r="E1498" s="42">
        <v>620.8</v>
      </c>
      <c r="F1498" s="69">
        <f>D1498*E1498</f>
        <v>5028.48</v>
      </c>
    </row>
    <row r="1499" s="217" customFormat="1" ht="14.85" customHeight="1" spans="1:6">
      <c r="A1499" s="7"/>
      <c r="B1499" s="7" t="s">
        <v>842</v>
      </c>
      <c r="C1499" s="7" t="s">
        <v>840</v>
      </c>
      <c r="D1499" s="69">
        <f>D1034</f>
        <v>5.77</v>
      </c>
      <c r="E1499" s="42">
        <v>380.1</v>
      </c>
      <c r="F1499" s="69">
        <f>D1499*E1499</f>
        <v>2193.177</v>
      </c>
    </row>
    <row r="1500" ht="14.85" customHeight="1" spans="1:6">
      <c r="A1500" s="7">
        <v>2</v>
      </c>
      <c r="B1500" s="7" t="s">
        <v>912</v>
      </c>
      <c r="C1500" s="7"/>
      <c r="D1500" s="34"/>
      <c r="E1500" s="34"/>
      <c r="F1500" s="34">
        <f>SUM(F1501:F1510)</f>
        <v>19482.9679589002</v>
      </c>
    </row>
    <row r="1501" ht="14.85" customHeight="1" spans="1:6">
      <c r="A1501" s="7"/>
      <c r="B1501" s="273" t="s">
        <v>996</v>
      </c>
      <c r="C1501" s="273" t="s">
        <v>169</v>
      </c>
      <c r="D1501" s="34">
        <f>D1455</f>
        <v>2238.008025</v>
      </c>
      <c r="E1501" s="34">
        <v>0.03</v>
      </c>
      <c r="F1501" s="34">
        <f t="shared" ref="F1501:F1509" si="96">D1501*E1501</f>
        <v>67.14024075</v>
      </c>
    </row>
    <row r="1502" ht="14.85" customHeight="1" spans="1:6">
      <c r="A1502" s="7"/>
      <c r="B1502" s="273" t="s">
        <v>997</v>
      </c>
      <c r="C1502" s="273" t="s">
        <v>863</v>
      </c>
      <c r="D1502" s="34">
        <f>基础材料表!D34</f>
        <v>4.44</v>
      </c>
      <c r="E1502" s="34">
        <v>0.98</v>
      </c>
      <c r="F1502" s="34">
        <f t="shared" si="96"/>
        <v>4.3512</v>
      </c>
    </row>
    <row r="1503" ht="14.85" customHeight="1" spans="1:6">
      <c r="A1503" s="7"/>
      <c r="B1503" s="273" t="s">
        <v>998</v>
      </c>
      <c r="C1503" s="273" t="s">
        <v>863</v>
      </c>
      <c r="D1503" s="34">
        <f>基础材料表!D30</f>
        <v>4.5</v>
      </c>
      <c r="E1503" s="34">
        <v>2.34</v>
      </c>
      <c r="F1503" s="34">
        <f t="shared" si="96"/>
        <v>10.53</v>
      </c>
    </row>
    <row r="1504" ht="14.85" customHeight="1" spans="1:6">
      <c r="A1504" s="7"/>
      <c r="B1504" s="273" t="s">
        <v>999</v>
      </c>
      <c r="C1504" s="273" t="s">
        <v>863</v>
      </c>
      <c r="D1504" s="34">
        <f>基础材料表!D16</f>
        <v>5.15</v>
      </c>
      <c r="E1504" s="34">
        <v>3.14</v>
      </c>
      <c r="F1504" s="34">
        <f t="shared" si="96"/>
        <v>16.171</v>
      </c>
    </row>
    <row r="1505" ht="14.85" customHeight="1" spans="1:6">
      <c r="A1505" s="7"/>
      <c r="B1505" s="273" t="s">
        <v>1000</v>
      </c>
      <c r="C1505" s="273" t="s">
        <v>863</v>
      </c>
      <c r="D1505" s="34">
        <f>基础材料表!D28</f>
        <v>4.5</v>
      </c>
      <c r="E1505" s="34">
        <v>0.07</v>
      </c>
      <c r="F1505" s="34">
        <f t="shared" si="96"/>
        <v>0.315</v>
      </c>
    </row>
    <row r="1506" ht="14.85" customHeight="1" spans="1:6">
      <c r="A1506" s="7"/>
      <c r="B1506" s="273" t="s">
        <v>1001</v>
      </c>
      <c r="C1506" s="273" t="s">
        <v>863</v>
      </c>
      <c r="D1506" s="34">
        <f>基础材料表!D32</f>
        <v>6.39</v>
      </c>
      <c r="E1506" s="34">
        <v>3.65</v>
      </c>
      <c r="F1506" s="34">
        <f t="shared" si="96"/>
        <v>23.3235</v>
      </c>
    </row>
    <row r="1507" ht="14.85" customHeight="1" spans="1:6">
      <c r="A1507" s="7"/>
      <c r="B1507" s="273" t="s">
        <v>1002</v>
      </c>
      <c r="C1507" s="273" t="s">
        <v>863</v>
      </c>
      <c r="D1507" s="34">
        <f>基础材料表!D5</f>
        <v>5.97</v>
      </c>
      <c r="E1507" s="34">
        <v>0.08</v>
      </c>
      <c r="F1507" s="34">
        <f t="shared" si="96"/>
        <v>0.4776</v>
      </c>
    </row>
    <row r="1508" ht="14.85" customHeight="1" spans="1:6">
      <c r="A1508" s="7"/>
      <c r="B1508" s="7" t="s">
        <v>1003</v>
      </c>
      <c r="C1508" s="7" t="s">
        <v>169</v>
      </c>
      <c r="D1508" s="34">
        <f>配合比!M9</f>
        <v>182.8439731</v>
      </c>
      <c r="E1508" s="34">
        <v>103</v>
      </c>
      <c r="F1508" s="34">
        <f t="shared" si="96"/>
        <v>18832.9292293</v>
      </c>
    </row>
    <row r="1509" ht="14.85" customHeight="1" spans="1:6">
      <c r="A1509" s="7"/>
      <c r="B1509" s="7" t="s">
        <v>913</v>
      </c>
      <c r="C1509" s="7" t="s">
        <v>169</v>
      </c>
      <c r="D1509" s="34">
        <f>材料预算价!K13</f>
        <v>3.59</v>
      </c>
      <c r="E1509" s="34">
        <v>120</v>
      </c>
      <c r="F1509" s="34">
        <f t="shared" si="96"/>
        <v>430.8</v>
      </c>
    </row>
    <row r="1510" ht="14.85" customHeight="1" spans="1:6">
      <c r="A1510" s="7"/>
      <c r="B1510" s="7" t="s">
        <v>1004</v>
      </c>
      <c r="C1510" s="9" t="s">
        <v>845</v>
      </c>
      <c r="D1510" s="34">
        <f>F1501+F1502+F1503+F1504+F1505+F1506+F1507+F1508++F1509</f>
        <v>19386.03777005</v>
      </c>
      <c r="E1510" s="34">
        <v>0.5</v>
      </c>
      <c r="F1510" s="34">
        <f>D1510*E1510/100</f>
        <v>96.93018885025</v>
      </c>
    </row>
    <row r="1511" ht="14.85" customHeight="1" spans="1:6">
      <c r="A1511" s="7">
        <v>3</v>
      </c>
      <c r="B1511" s="7" t="s">
        <v>859</v>
      </c>
      <c r="C1511" s="7"/>
      <c r="D1511" s="34"/>
      <c r="E1511" s="34"/>
      <c r="F1511" s="34">
        <f>SUM(F1512:F1518)</f>
        <v>650.991066409852</v>
      </c>
    </row>
    <row r="1512" ht="14.85" customHeight="1" spans="1:6">
      <c r="A1512" s="7"/>
      <c r="B1512" s="7" t="s">
        <v>1005</v>
      </c>
      <c r="C1512" s="7" t="s">
        <v>428</v>
      </c>
      <c r="D1512" s="34">
        <f t="shared" ref="D1512:D1517" si="97">D1324</f>
        <v>49.389824491424</v>
      </c>
      <c r="E1512" s="34">
        <v>0.08</v>
      </c>
      <c r="F1512" s="34">
        <f t="shared" ref="F1512:F1517" si="98">D1512*E1512</f>
        <v>3.95118595931392</v>
      </c>
    </row>
    <row r="1513" ht="14.85" customHeight="1" spans="1:6">
      <c r="A1513" s="7"/>
      <c r="B1513" s="7" t="s">
        <v>1006</v>
      </c>
      <c r="C1513" s="7" t="s">
        <v>428</v>
      </c>
      <c r="D1513" s="34">
        <f t="shared" si="97"/>
        <v>62.3342780215397</v>
      </c>
      <c r="E1513" s="34">
        <v>0.12</v>
      </c>
      <c r="F1513" s="34">
        <f t="shared" si="98"/>
        <v>7.48011336258476</v>
      </c>
    </row>
    <row r="1514" ht="14.85" customHeight="1" spans="1:6">
      <c r="A1514" s="7"/>
      <c r="B1514" s="7" t="s">
        <v>1007</v>
      </c>
      <c r="C1514" s="7" t="s">
        <v>428</v>
      </c>
      <c r="D1514" s="34">
        <f t="shared" si="97"/>
        <v>8.3371858795373</v>
      </c>
      <c r="E1514" s="251">
        <v>0.12</v>
      </c>
      <c r="F1514" s="34">
        <f t="shared" si="98"/>
        <v>1.00046230554448</v>
      </c>
    </row>
    <row r="1515" ht="14.85" customHeight="1" spans="1:6">
      <c r="A1515" s="7"/>
      <c r="B1515" s="7" t="s">
        <v>1008</v>
      </c>
      <c r="C1515" s="7" t="s">
        <v>428</v>
      </c>
      <c r="D1515" s="34">
        <f t="shared" si="97"/>
        <v>23.9179521340247</v>
      </c>
      <c r="E1515" s="34">
        <v>18.54</v>
      </c>
      <c r="F1515" s="34">
        <f t="shared" si="98"/>
        <v>443.438832564818</v>
      </c>
    </row>
    <row r="1516" ht="14.85" customHeight="1" spans="1:6">
      <c r="A1516" s="7"/>
      <c r="B1516" s="7" t="s">
        <v>1021</v>
      </c>
      <c r="C1516" s="7" t="s">
        <v>428</v>
      </c>
      <c r="D1516" s="34">
        <f t="shared" si="97"/>
        <v>2.41252772237734</v>
      </c>
      <c r="E1516" s="34">
        <v>40.05</v>
      </c>
      <c r="F1516" s="34">
        <f t="shared" si="98"/>
        <v>96.6217352812126</v>
      </c>
    </row>
    <row r="1517" ht="14.85" customHeight="1" spans="1:6">
      <c r="A1517" s="7"/>
      <c r="B1517" s="7" t="s">
        <v>967</v>
      </c>
      <c r="C1517" s="7" t="s">
        <v>428</v>
      </c>
      <c r="D1517" s="34">
        <f t="shared" si="97"/>
        <v>0.813242919824491</v>
      </c>
      <c r="E1517" s="34">
        <v>83</v>
      </c>
      <c r="F1517" s="34">
        <f t="shared" si="98"/>
        <v>67.4991623454328</v>
      </c>
    </row>
    <row r="1518" ht="14.85" customHeight="1" spans="1:6">
      <c r="A1518" s="7"/>
      <c r="B1518" s="7" t="s">
        <v>918</v>
      </c>
      <c r="C1518" s="9" t="s">
        <v>845</v>
      </c>
      <c r="D1518" s="34">
        <f>SUM(F1512:F1517)</f>
        <v>619.991491818907</v>
      </c>
      <c r="E1518" s="247">
        <v>5</v>
      </c>
      <c r="F1518" s="34">
        <f>D1518*E1518/100</f>
        <v>30.9995745909454</v>
      </c>
    </row>
    <row r="1519" s="219" customFormat="1" ht="14.85" customHeight="1" spans="1:6">
      <c r="A1519" s="5">
        <v>4</v>
      </c>
      <c r="B1519" s="5" t="s">
        <v>1010</v>
      </c>
      <c r="C1519" s="275"/>
      <c r="D1519" s="276"/>
      <c r="E1519" s="276"/>
      <c r="F1519" s="276">
        <f>SUM(F1520:F1521)</f>
        <v>1991.65619138815</v>
      </c>
    </row>
    <row r="1520" s="216" customFormat="1" ht="14.85" customHeight="1" spans="1:6">
      <c r="A1520" s="7"/>
      <c r="B1520" s="123" t="s">
        <v>681</v>
      </c>
      <c r="C1520" s="123" t="s">
        <v>169</v>
      </c>
      <c r="D1520" s="274">
        <f>$F$2795/100</f>
        <v>5.03319379720782</v>
      </c>
      <c r="E1520" s="274">
        <v>103</v>
      </c>
      <c r="F1520" s="34">
        <f>D1520*E1520</f>
        <v>518.418961112405</v>
      </c>
    </row>
    <row r="1521" s="216" customFormat="1" ht="14.85" customHeight="1" spans="1:6">
      <c r="A1521" s="7"/>
      <c r="B1521" s="123" t="s">
        <v>682</v>
      </c>
      <c r="C1521" s="123" t="s">
        <v>169</v>
      </c>
      <c r="D1521" s="274">
        <f>$F$2813/100</f>
        <v>14.303274080347</v>
      </c>
      <c r="E1521" s="274">
        <v>103</v>
      </c>
      <c r="F1521" s="34">
        <f>D1521*E1521</f>
        <v>1473.23723027574</v>
      </c>
    </row>
    <row r="1522" s="216" customFormat="1" ht="14.85" customHeight="1" spans="1:6">
      <c r="A1522" s="7" t="s">
        <v>564</v>
      </c>
      <c r="B1522" s="7" t="s">
        <v>846</v>
      </c>
      <c r="C1522" s="230">
        <f>取费表!$C$7</f>
        <v>0.048</v>
      </c>
      <c r="D1522" s="274"/>
      <c r="E1522" s="274">
        <f>F1496</f>
        <v>29347.2722166982</v>
      </c>
      <c r="F1522" s="34">
        <f>E1522*C1522</f>
        <v>1408.66906640152</v>
      </c>
    </row>
    <row r="1523" s="216" customFormat="1" ht="14.85" customHeight="1" spans="1:6">
      <c r="A1523" s="7"/>
      <c r="B1523" s="7"/>
      <c r="C1523" s="230"/>
      <c r="D1523" s="274"/>
      <c r="E1523" s="274"/>
      <c r="F1523" s="34"/>
    </row>
    <row r="1524" s="216" customFormat="1" ht="14.85" customHeight="1" spans="1:6">
      <c r="A1524" s="7" t="s">
        <v>439</v>
      </c>
      <c r="B1524" s="7" t="s">
        <v>847</v>
      </c>
      <c r="C1524" s="230">
        <f>取费表!$E$7</f>
        <v>0.07</v>
      </c>
      <c r="D1524" s="274"/>
      <c r="E1524" s="274">
        <f>F1495</f>
        <v>30755.9412830998</v>
      </c>
      <c r="F1524" s="34">
        <f>E1524*C1524</f>
        <v>2152.91588981698</v>
      </c>
    </row>
    <row r="1525" s="216" customFormat="1" ht="14.85" customHeight="1" spans="1:6">
      <c r="A1525" s="7" t="s">
        <v>83</v>
      </c>
      <c r="B1525" s="7" t="s">
        <v>848</v>
      </c>
      <c r="C1525" s="230">
        <f>取费表!$F$7</f>
        <v>0.07</v>
      </c>
      <c r="D1525" s="274"/>
      <c r="E1525" s="274">
        <f>F1524+F1495</f>
        <v>32908.8571729167</v>
      </c>
      <c r="F1525" s="34">
        <f>E1525*C1525</f>
        <v>2303.62000210417</v>
      </c>
    </row>
    <row r="1526" s="220" customFormat="1" ht="14.85" customHeight="1" spans="1:6">
      <c r="A1526" s="5" t="s">
        <v>121</v>
      </c>
      <c r="B1526" s="5" t="s">
        <v>861</v>
      </c>
      <c r="C1526" s="275"/>
      <c r="D1526" s="276"/>
      <c r="E1526" s="5"/>
      <c r="F1526" s="277">
        <f>SUM(F1527:F1532)</f>
        <v>9404.36493860372</v>
      </c>
    </row>
    <row r="1527" ht="14.85" customHeight="1" spans="1:6">
      <c r="A1527" s="7"/>
      <c r="B1527" s="7"/>
      <c r="C1527" s="7"/>
      <c r="D1527" s="34"/>
      <c r="E1527" s="34"/>
      <c r="F1527" s="69"/>
    </row>
    <row r="1528" ht="14.85" customHeight="1" spans="1:6">
      <c r="A1528" s="7"/>
      <c r="B1528" s="7" t="s">
        <v>979</v>
      </c>
      <c r="C1528" s="7" t="s">
        <v>200</v>
      </c>
      <c r="D1528" s="34">
        <f>D1481</f>
        <v>141.58936</v>
      </c>
      <c r="E1528" s="34">
        <f>E1508*配合比!E9</f>
        <v>35.641914</v>
      </c>
      <c r="F1528" s="69">
        <f>D1528*E1528</f>
        <v>5046.51579243504</v>
      </c>
    </row>
    <row r="1529" ht="14.85" customHeight="1" spans="1:6">
      <c r="A1529" s="7"/>
      <c r="B1529" s="7" t="s">
        <v>961</v>
      </c>
      <c r="C1529" s="7" t="s">
        <v>169</v>
      </c>
      <c r="D1529" s="34">
        <f>D1482</f>
        <v>34.366056</v>
      </c>
      <c r="E1529" s="34">
        <f>E1508*配合比!G9</f>
        <v>62.17904</v>
      </c>
      <c r="F1529" s="69">
        <f>D1529*E1529</f>
        <v>2136.84837066624</v>
      </c>
    </row>
    <row r="1530" ht="14.85" customHeight="1" spans="1:6">
      <c r="A1530" s="7"/>
      <c r="B1530" s="7" t="s">
        <v>1012</v>
      </c>
      <c r="C1530" s="7" t="s">
        <v>169</v>
      </c>
      <c r="D1530" s="34">
        <f>材料预算价!K8-材料预算价!L8</f>
        <v>29.13701</v>
      </c>
      <c r="E1530" s="34">
        <f>E1508*配合比!I9</f>
        <v>75.967444</v>
      </c>
      <c r="F1530" s="69">
        <f>D1530*E1530</f>
        <v>2213.46417550244</v>
      </c>
    </row>
    <row r="1531" ht="14.85" customHeight="1" spans="1:6">
      <c r="A1531" s="7"/>
      <c r="B1531" s="7" t="s">
        <v>1014</v>
      </c>
      <c r="C1531" s="7" t="s">
        <v>863</v>
      </c>
      <c r="D1531" s="34">
        <f>材料预算价!K12-材料预算价!L12</f>
        <v>5.925</v>
      </c>
      <c r="E1531" s="38">
        <f>(E1512*7.2+E1513*5.8)</f>
        <v>1.272</v>
      </c>
      <c r="F1531" s="69">
        <f>D1531*E1531</f>
        <v>7.5366</v>
      </c>
    </row>
    <row r="1532" ht="14.85" customHeight="1" spans="1:6">
      <c r="A1532" s="7"/>
      <c r="B1532" s="7" t="s">
        <v>862</v>
      </c>
      <c r="C1532" s="7" t="s">
        <v>863</v>
      </c>
      <c r="D1532" s="34">
        <f>材料预算价!K11-材料预算价!L11</f>
        <v>4.58</v>
      </c>
      <c r="E1532" s="38"/>
      <c r="F1532" s="69">
        <f>D1532*E1532</f>
        <v>0</v>
      </c>
    </row>
    <row r="1533" ht="14.85" customHeight="1" spans="1:6">
      <c r="A1533" s="7" t="s">
        <v>135</v>
      </c>
      <c r="B1533" s="7" t="s">
        <v>849</v>
      </c>
      <c r="C1533" s="231">
        <f>C1393</f>
        <v>0.09</v>
      </c>
      <c r="D1533" s="34"/>
      <c r="E1533" s="34">
        <f>F1526+F1525+F1524+F1495</f>
        <v>44616.8421136247</v>
      </c>
      <c r="F1533" s="34">
        <f>E1533*C1533</f>
        <v>4015.51579022622</v>
      </c>
    </row>
    <row r="1534" ht="14.85" customHeight="1" spans="1:6">
      <c r="A1534" s="7"/>
      <c r="B1534" s="7" t="s">
        <v>850</v>
      </c>
      <c r="C1534" s="231"/>
      <c r="D1534" s="34"/>
      <c r="E1534" s="34"/>
      <c r="F1534" s="34">
        <f>(F1495+F1524+F1525+F1526+F1533)*取费表!H4</f>
        <v>1458.97073711553</v>
      </c>
    </row>
    <row r="1535" ht="14.85" customHeight="1" spans="1:6">
      <c r="A1535" s="7"/>
      <c r="B1535" s="7" t="s">
        <v>156</v>
      </c>
      <c r="C1535" s="7"/>
      <c r="D1535" s="34"/>
      <c r="E1535" s="34"/>
      <c r="F1535" s="34">
        <f>F1533+E1533+F1534</f>
        <v>50091.3286409664</v>
      </c>
    </row>
    <row r="1536" ht="14.45" customHeight="1" spans="1:6">
      <c r="A1536" s="236" t="s">
        <v>828</v>
      </c>
      <c r="B1536" s="236"/>
      <c r="C1536" s="236"/>
      <c r="D1536" s="236"/>
      <c r="E1536" s="236"/>
      <c r="F1536" s="236"/>
    </row>
    <row r="1537" ht="14.45" customHeight="1" spans="1:6">
      <c r="A1537" s="278" t="s">
        <v>1042</v>
      </c>
      <c r="B1537" s="272"/>
      <c r="C1537" s="272"/>
      <c r="D1537" s="272"/>
      <c r="E1537" s="272"/>
      <c r="F1537" s="272"/>
    </row>
    <row r="1538" ht="14.45" customHeight="1" spans="1:6">
      <c r="A1538" s="227" t="s">
        <v>1041</v>
      </c>
      <c r="B1538" s="228"/>
      <c r="C1538" s="272"/>
      <c r="D1538" s="272"/>
      <c r="E1538" s="228" t="s">
        <v>832</v>
      </c>
      <c r="F1538" s="228"/>
    </row>
    <row r="1539" ht="14.45" customHeight="1" spans="1:6">
      <c r="A1539" s="146" t="s">
        <v>911</v>
      </c>
      <c r="B1539" s="233"/>
      <c r="C1539" s="233"/>
      <c r="D1539" s="233"/>
      <c r="E1539" s="233"/>
      <c r="F1539" s="147"/>
    </row>
    <row r="1540" ht="14.45" customHeight="1" spans="1:6">
      <c r="A1540" s="7" t="s">
        <v>104</v>
      </c>
      <c r="B1540" s="7" t="s">
        <v>835</v>
      </c>
      <c r="C1540" s="7" t="s">
        <v>159</v>
      </c>
      <c r="D1540" s="7" t="s">
        <v>422</v>
      </c>
      <c r="E1540" s="7" t="s">
        <v>160</v>
      </c>
      <c r="F1540" s="7" t="s">
        <v>18</v>
      </c>
    </row>
    <row r="1541" ht="14.45" customHeight="1" spans="1:6">
      <c r="A1541" s="7" t="s">
        <v>836</v>
      </c>
      <c r="B1541" s="7" t="s">
        <v>837</v>
      </c>
      <c r="C1541" s="7"/>
      <c r="D1541" s="7"/>
      <c r="E1541" s="7"/>
      <c r="F1541" s="34">
        <f>F1542+F1568+F1569</f>
        <v>28746.7248279006</v>
      </c>
    </row>
    <row r="1542" ht="14.45" customHeight="1" spans="1:6">
      <c r="A1542" s="7" t="s">
        <v>539</v>
      </c>
      <c r="B1542" s="7" t="s">
        <v>838</v>
      </c>
      <c r="C1542" s="7"/>
      <c r="D1542" s="7"/>
      <c r="E1542" s="7"/>
      <c r="F1542" s="34">
        <f>F1543+F1546+F1557+F1565</f>
        <v>27430.0809426533</v>
      </c>
    </row>
    <row r="1543" ht="14.45" customHeight="1" spans="1:6">
      <c r="A1543" s="7">
        <v>1</v>
      </c>
      <c r="B1543" s="7" t="s">
        <v>839</v>
      </c>
      <c r="C1543" s="7" t="s">
        <v>840</v>
      </c>
      <c r="D1543" s="34"/>
      <c r="E1543" s="42">
        <f>SUM(E1544:E1545)</f>
        <v>1000.9</v>
      </c>
      <c r="F1543" s="69">
        <f>SUM(F1544:F1545)</f>
        <v>7221.657</v>
      </c>
    </row>
    <row r="1544" ht="14.45" customHeight="1" spans="1:6">
      <c r="A1544" s="7"/>
      <c r="B1544" s="7" t="s">
        <v>841</v>
      </c>
      <c r="C1544" s="7" t="s">
        <v>840</v>
      </c>
      <c r="D1544" s="69">
        <f>D1498</f>
        <v>8.1</v>
      </c>
      <c r="E1544" s="42">
        <v>620.8</v>
      </c>
      <c r="F1544" s="69">
        <f>D1544*E1544</f>
        <v>5028.48</v>
      </c>
    </row>
    <row r="1545" ht="14.45" customHeight="1" spans="1:6">
      <c r="A1545" s="7"/>
      <c r="B1545" s="7" t="s">
        <v>842</v>
      </c>
      <c r="C1545" s="7" t="s">
        <v>840</v>
      </c>
      <c r="D1545" s="69">
        <f>D1499</f>
        <v>5.77</v>
      </c>
      <c r="E1545" s="42">
        <v>380.1</v>
      </c>
      <c r="F1545" s="69">
        <f>D1545*E1545</f>
        <v>2193.177</v>
      </c>
    </row>
    <row r="1546" ht="14.45" customHeight="1" spans="1:6">
      <c r="A1546" s="7">
        <v>2</v>
      </c>
      <c r="B1546" s="7" t="s">
        <v>912</v>
      </c>
      <c r="C1546" s="7"/>
      <c r="D1546" s="34"/>
      <c r="E1546" s="34"/>
      <c r="F1546" s="34">
        <f>SUM(F1547:F1556)</f>
        <v>17565.7766848552</v>
      </c>
    </row>
    <row r="1547" ht="14.45" customHeight="1" spans="1:6">
      <c r="A1547" s="7"/>
      <c r="B1547" s="273" t="s">
        <v>996</v>
      </c>
      <c r="C1547" s="273" t="s">
        <v>169</v>
      </c>
      <c r="D1547" s="34">
        <f>D1501</f>
        <v>2238.008025</v>
      </c>
      <c r="E1547" s="34">
        <v>0.03</v>
      </c>
      <c r="F1547" s="34">
        <f t="shared" ref="F1547:F1555" si="99">D1547*E1547</f>
        <v>67.14024075</v>
      </c>
    </row>
    <row r="1548" ht="14.45" customHeight="1" spans="1:6">
      <c r="A1548" s="7"/>
      <c r="B1548" s="273" t="s">
        <v>997</v>
      </c>
      <c r="C1548" s="273" t="s">
        <v>863</v>
      </c>
      <c r="D1548" s="34">
        <f t="shared" ref="D1548:D1553" si="100">D1502</f>
        <v>4.44</v>
      </c>
      <c r="E1548" s="34">
        <v>0.98</v>
      </c>
      <c r="F1548" s="34">
        <f t="shared" si="99"/>
        <v>4.3512</v>
      </c>
    </row>
    <row r="1549" ht="14.45" customHeight="1" spans="1:6">
      <c r="A1549" s="7"/>
      <c r="B1549" s="273" t="s">
        <v>998</v>
      </c>
      <c r="C1549" s="273" t="s">
        <v>863</v>
      </c>
      <c r="D1549" s="34">
        <f t="shared" si="100"/>
        <v>4.5</v>
      </c>
      <c r="E1549" s="34">
        <v>2.34</v>
      </c>
      <c r="F1549" s="34">
        <f t="shared" si="99"/>
        <v>10.53</v>
      </c>
    </row>
    <row r="1550" ht="14.45" customHeight="1" spans="1:6">
      <c r="A1550" s="7"/>
      <c r="B1550" s="273" t="s">
        <v>999</v>
      </c>
      <c r="C1550" s="273" t="s">
        <v>863</v>
      </c>
      <c r="D1550" s="34">
        <f t="shared" si="100"/>
        <v>5.15</v>
      </c>
      <c r="E1550" s="34">
        <v>3.14</v>
      </c>
      <c r="F1550" s="34">
        <f t="shared" si="99"/>
        <v>16.171</v>
      </c>
    </row>
    <row r="1551" ht="14.45" customHeight="1" spans="1:6">
      <c r="A1551" s="7"/>
      <c r="B1551" s="273" t="s">
        <v>1000</v>
      </c>
      <c r="C1551" s="273" t="s">
        <v>863</v>
      </c>
      <c r="D1551" s="34">
        <f t="shared" si="100"/>
        <v>4.5</v>
      </c>
      <c r="E1551" s="34">
        <v>0.07</v>
      </c>
      <c r="F1551" s="34">
        <f t="shared" si="99"/>
        <v>0.315</v>
      </c>
    </row>
    <row r="1552" ht="14.45" customHeight="1" spans="1:6">
      <c r="A1552" s="7"/>
      <c r="B1552" s="273" t="s">
        <v>1001</v>
      </c>
      <c r="C1552" s="273" t="s">
        <v>863</v>
      </c>
      <c r="D1552" s="34">
        <f t="shared" si="100"/>
        <v>6.39</v>
      </c>
      <c r="E1552" s="34">
        <v>3.65</v>
      </c>
      <c r="F1552" s="34">
        <f t="shared" si="99"/>
        <v>23.3235</v>
      </c>
    </row>
    <row r="1553" ht="14.45" customHeight="1" spans="1:6">
      <c r="A1553" s="7"/>
      <c r="B1553" s="273" t="s">
        <v>1002</v>
      </c>
      <c r="C1553" s="273" t="s">
        <v>863</v>
      </c>
      <c r="D1553" s="34">
        <f t="shared" si="100"/>
        <v>5.97</v>
      </c>
      <c r="E1553" s="34">
        <v>0.08</v>
      </c>
      <c r="F1553" s="34">
        <f t="shared" si="99"/>
        <v>0.4776</v>
      </c>
    </row>
    <row r="1554" ht="14.45" customHeight="1" spans="1:6">
      <c r="A1554" s="7"/>
      <c r="B1554" s="7" t="s">
        <v>1043</v>
      </c>
      <c r="C1554" s="7" t="s">
        <v>169</v>
      </c>
      <c r="D1554" s="34">
        <f>配合比!M7</f>
        <v>164.3230701</v>
      </c>
      <c r="E1554" s="34">
        <v>103</v>
      </c>
      <c r="F1554" s="34">
        <f t="shared" si="99"/>
        <v>16925.2762203</v>
      </c>
    </row>
    <row r="1555" ht="14.45" customHeight="1" spans="1:6">
      <c r="A1555" s="7"/>
      <c r="B1555" s="7" t="s">
        <v>913</v>
      </c>
      <c r="C1555" s="7" t="s">
        <v>169</v>
      </c>
      <c r="D1555" s="34">
        <f>材料预算价!K13</f>
        <v>3.59</v>
      </c>
      <c r="E1555" s="34">
        <v>120</v>
      </c>
      <c r="F1555" s="34">
        <f t="shared" si="99"/>
        <v>430.8</v>
      </c>
    </row>
    <row r="1556" ht="14.45" customHeight="1" spans="1:6">
      <c r="A1556" s="7"/>
      <c r="B1556" s="7" t="s">
        <v>1004</v>
      </c>
      <c r="C1556" s="9" t="s">
        <v>845</v>
      </c>
      <c r="D1556" s="34">
        <f>F1547+F1548+F1549+F1550+F1551+F1552+F1553+F1554++F1555</f>
        <v>17478.38476105</v>
      </c>
      <c r="E1556" s="34">
        <v>0.5</v>
      </c>
      <c r="F1556" s="34">
        <f>D1556*E1556/100</f>
        <v>87.39192380525</v>
      </c>
    </row>
    <row r="1557" ht="14.45" customHeight="1" spans="1:6">
      <c r="A1557" s="7">
        <v>3</v>
      </c>
      <c r="B1557" s="7" t="s">
        <v>859</v>
      </c>
      <c r="C1557" s="7"/>
      <c r="D1557" s="34"/>
      <c r="E1557" s="34"/>
      <c r="F1557" s="34">
        <f>SUM(F1558:F1564)</f>
        <v>650.991066409852</v>
      </c>
    </row>
    <row r="1558" ht="14.45" customHeight="1" spans="1:6">
      <c r="A1558" s="7"/>
      <c r="B1558" s="7" t="s">
        <v>1005</v>
      </c>
      <c r="C1558" s="7" t="s">
        <v>428</v>
      </c>
      <c r="D1558" s="34">
        <f t="shared" ref="D1558:D1563" si="101">D1512</f>
        <v>49.389824491424</v>
      </c>
      <c r="E1558" s="34">
        <v>0.08</v>
      </c>
      <c r="F1558" s="34">
        <f t="shared" ref="F1558:F1563" si="102">D1558*E1558</f>
        <v>3.95118595931392</v>
      </c>
    </row>
    <row r="1559" ht="14.45" customHeight="1" spans="1:6">
      <c r="A1559" s="7"/>
      <c r="B1559" s="7" t="s">
        <v>1006</v>
      </c>
      <c r="C1559" s="7" t="s">
        <v>428</v>
      </c>
      <c r="D1559" s="34">
        <f t="shared" si="101"/>
        <v>62.3342780215397</v>
      </c>
      <c r="E1559" s="34">
        <v>0.12</v>
      </c>
      <c r="F1559" s="34">
        <f t="shared" si="102"/>
        <v>7.48011336258476</v>
      </c>
    </row>
    <row r="1560" ht="14.45" customHeight="1" spans="1:6">
      <c r="A1560" s="7"/>
      <c r="B1560" s="7" t="s">
        <v>1007</v>
      </c>
      <c r="C1560" s="7" t="s">
        <v>428</v>
      </c>
      <c r="D1560" s="34">
        <f t="shared" si="101"/>
        <v>8.3371858795373</v>
      </c>
      <c r="E1560" s="251">
        <v>0.12</v>
      </c>
      <c r="F1560" s="34">
        <f t="shared" si="102"/>
        <v>1.00046230554448</v>
      </c>
    </row>
    <row r="1561" ht="14.45" customHeight="1" spans="1:6">
      <c r="A1561" s="7"/>
      <c r="B1561" s="7" t="s">
        <v>1008</v>
      </c>
      <c r="C1561" s="7" t="s">
        <v>428</v>
      </c>
      <c r="D1561" s="34">
        <f t="shared" si="101"/>
        <v>23.9179521340247</v>
      </c>
      <c r="E1561" s="34">
        <v>18.54</v>
      </c>
      <c r="F1561" s="34">
        <f t="shared" si="102"/>
        <v>443.438832564818</v>
      </c>
    </row>
    <row r="1562" ht="14.45" customHeight="1" spans="1:6">
      <c r="A1562" s="7"/>
      <c r="B1562" s="7" t="s">
        <v>1021</v>
      </c>
      <c r="C1562" s="7" t="s">
        <v>428</v>
      </c>
      <c r="D1562" s="34">
        <f t="shared" si="101"/>
        <v>2.41252772237734</v>
      </c>
      <c r="E1562" s="34">
        <v>40.05</v>
      </c>
      <c r="F1562" s="34">
        <f t="shared" si="102"/>
        <v>96.6217352812126</v>
      </c>
    </row>
    <row r="1563" ht="14.45" customHeight="1" spans="1:6">
      <c r="A1563" s="7"/>
      <c r="B1563" s="7" t="s">
        <v>967</v>
      </c>
      <c r="C1563" s="7" t="s">
        <v>428</v>
      </c>
      <c r="D1563" s="34">
        <f t="shared" si="101"/>
        <v>0.813242919824491</v>
      </c>
      <c r="E1563" s="34">
        <v>83</v>
      </c>
      <c r="F1563" s="34">
        <f t="shared" si="102"/>
        <v>67.4991623454328</v>
      </c>
    </row>
    <row r="1564" ht="14.45" customHeight="1" spans="1:6">
      <c r="A1564" s="7"/>
      <c r="B1564" s="7" t="s">
        <v>918</v>
      </c>
      <c r="C1564" s="9" t="s">
        <v>845</v>
      </c>
      <c r="D1564" s="34">
        <f>SUM(F1558:F1563)</f>
        <v>619.991491818907</v>
      </c>
      <c r="E1564" s="247">
        <v>5</v>
      </c>
      <c r="F1564" s="34">
        <f>D1564*E1564/100</f>
        <v>30.9995745909454</v>
      </c>
    </row>
    <row r="1565" ht="14.45" customHeight="1" spans="1:6">
      <c r="A1565" s="7">
        <v>4</v>
      </c>
      <c r="B1565" s="7" t="s">
        <v>1010</v>
      </c>
      <c r="C1565" s="9"/>
      <c r="D1565" s="34"/>
      <c r="E1565" s="34"/>
      <c r="F1565" s="34">
        <f>SUM(F1566:F1567)</f>
        <v>1991.65619138815</v>
      </c>
    </row>
    <row r="1566" ht="14.45" customHeight="1" spans="1:6">
      <c r="A1566" s="7"/>
      <c r="B1566" s="123" t="s">
        <v>681</v>
      </c>
      <c r="C1566" s="123" t="s">
        <v>169</v>
      </c>
      <c r="D1566" s="274">
        <f>$F$2795/100</f>
        <v>5.03319379720782</v>
      </c>
      <c r="E1566" s="274">
        <v>103</v>
      </c>
      <c r="F1566" s="34">
        <f>D1566*E1566</f>
        <v>518.418961112405</v>
      </c>
    </row>
    <row r="1567" ht="14.45" customHeight="1" spans="1:6">
      <c r="A1567" s="7"/>
      <c r="B1567" s="123" t="s">
        <v>682</v>
      </c>
      <c r="C1567" s="123" t="s">
        <v>169</v>
      </c>
      <c r="D1567" s="274">
        <f>$F$2813/100</f>
        <v>14.303274080347</v>
      </c>
      <c r="E1567" s="274">
        <v>103</v>
      </c>
      <c r="F1567" s="34">
        <f>D1567*E1567</f>
        <v>1473.23723027574</v>
      </c>
    </row>
    <row r="1568" ht="14.45" customHeight="1" spans="1:6">
      <c r="A1568" s="7" t="s">
        <v>564</v>
      </c>
      <c r="B1568" s="7" t="s">
        <v>846</v>
      </c>
      <c r="C1568" s="230">
        <f>取费表!$C$7</f>
        <v>0.048</v>
      </c>
      <c r="D1568" s="274"/>
      <c r="E1568" s="274">
        <f>F1542</f>
        <v>27430.0809426533</v>
      </c>
      <c r="F1568" s="34">
        <f>E1568*C1568</f>
        <v>1316.64388524736</v>
      </c>
    </row>
    <row r="1569" ht="14.45" customHeight="1" spans="1:6">
      <c r="A1569" s="7"/>
      <c r="B1569" s="7"/>
      <c r="C1569" s="230"/>
      <c r="D1569" s="274"/>
      <c r="E1569" s="274"/>
      <c r="F1569" s="34"/>
    </row>
    <row r="1570" ht="14.45" customHeight="1" spans="1:6">
      <c r="A1570" s="7" t="s">
        <v>439</v>
      </c>
      <c r="B1570" s="7" t="s">
        <v>847</v>
      </c>
      <c r="C1570" s="230">
        <f>取费表!$E$7</f>
        <v>0.07</v>
      </c>
      <c r="D1570" s="274"/>
      <c r="E1570" s="274">
        <f>F1541</f>
        <v>28746.7248279006</v>
      </c>
      <c r="F1570" s="34">
        <f>E1570*C1570</f>
        <v>2012.27073795304</v>
      </c>
    </row>
    <row r="1571" ht="14.45" customHeight="1" spans="1:6">
      <c r="A1571" s="7" t="s">
        <v>83</v>
      </c>
      <c r="B1571" s="7" t="s">
        <v>848</v>
      </c>
      <c r="C1571" s="230">
        <f>取费表!$F$7</f>
        <v>0.07</v>
      </c>
      <c r="D1571" s="274"/>
      <c r="E1571" s="274">
        <f>F1570+F1541</f>
        <v>30758.9955658536</v>
      </c>
      <c r="F1571" s="34">
        <f>E1571*C1571</f>
        <v>2153.12968960976</v>
      </c>
    </row>
    <row r="1572" ht="14.45" customHeight="1" spans="1:6">
      <c r="A1572" s="7" t="s">
        <v>121</v>
      </c>
      <c r="B1572" s="7" t="s">
        <v>861</v>
      </c>
      <c r="C1572" s="9"/>
      <c r="D1572" s="34"/>
      <c r="E1572" s="7"/>
      <c r="F1572" s="69">
        <f>F1573+F1578</f>
        <v>8350.54917586163</v>
      </c>
    </row>
    <row r="1573" ht="14.45" customHeight="1" spans="1:6">
      <c r="A1573" s="7">
        <v>1</v>
      </c>
      <c r="B1573" s="7" t="s">
        <v>1011</v>
      </c>
      <c r="C1573" s="9"/>
      <c r="D1573" s="34"/>
      <c r="E1573" s="7"/>
      <c r="F1573" s="69">
        <f>SUM(F1574:F1577)</f>
        <v>8343.01257586163</v>
      </c>
    </row>
    <row r="1574" ht="14.45" customHeight="1" spans="1:6">
      <c r="A1574" s="7"/>
      <c r="B1574" s="7"/>
      <c r="C1574" s="7"/>
      <c r="D1574" s="34"/>
      <c r="E1574" s="34"/>
      <c r="F1574" s="69"/>
    </row>
    <row r="1575" ht="14.45" customHeight="1" spans="1:6">
      <c r="A1575" s="7"/>
      <c r="B1575" s="7" t="s">
        <v>979</v>
      </c>
      <c r="C1575" s="7" t="s">
        <v>200</v>
      </c>
      <c r="D1575" s="34">
        <f>D1528</f>
        <v>141.58936</v>
      </c>
      <c r="E1575" s="34">
        <f>E1554*配合比!E7</f>
        <v>28.1498382</v>
      </c>
      <c r="F1575" s="69">
        <f>D1575*E1575</f>
        <v>3985.71757484155</v>
      </c>
    </row>
    <row r="1576" ht="14.45" customHeight="1" spans="1:6">
      <c r="A1576" s="7"/>
      <c r="B1576" s="7" t="s">
        <v>961</v>
      </c>
      <c r="C1576" s="7" t="s">
        <v>169</v>
      </c>
      <c r="D1576" s="34">
        <f>D1529</f>
        <v>34.366056</v>
      </c>
      <c r="E1576" s="34">
        <f>E1554*配合比!G7</f>
        <v>63.28938</v>
      </c>
      <c r="F1576" s="69">
        <f>D1576*E1576</f>
        <v>2175.00637728528</v>
      </c>
    </row>
    <row r="1577" ht="14.45" customHeight="1" spans="1:6">
      <c r="A1577" s="7"/>
      <c r="B1577" s="7" t="s">
        <v>1012</v>
      </c>
      <c r="C1577" s="7" t="s">
        <v>169</v>
      </c>
      <c r="D1577" s="34">
        <f>材料预算价!K8-材料预算价!L8</f>
        <v>29.13701</v>
      </c>
      <c r="E1577" s="34">
        <f>E1554*配合比!I7</f>
        <v>74.89748</v>
      </c>
      <c r="F1577" s="69">
        <f>D1577*E1577</f>
        <v>2182.2886237348</v>
      </c>
    </row>
    <row r="1578" ht="14.45" customHeight="1" spans="1:6">
      <c r="A1578" s="7">
        <v>2</v>
      </c>
      <c r="B1578" s="7" t="s">
        <v>1013</v>
      </c>
      <c r="C1578" s="7"/>
      <c r="D1578" s="34"/>
      <c r="E1578" s="38"/>
      <c r="F1578" s="69">
        <f>SUM(F1579:F1580)</f>
        <v>7.5366</v>
      </c>
    </row>
    <row r="1579" ht="14.45" customHeight="1" spans="1:6">
      <c r="A1579" s="7"/>
      <c r="B1579" s="7" t="s">
        <v>1014</v>
      </c>
      <c r="C1579" s="7" t="s">
        <v>863</v>
      </c>
      <c r="D1579" s="34">
        <f>材料预算价!K12-材料预算价!L12</f>
        <v>5.925</v>
      </c>
      <c r="E1579" s="38">
        <f>(E1558*7.2+E1559*5.8)</f>
        <v>1.272</v>
      </c>
      <c r="F1579" s="69">
        <f>D1579*E1579</f>
        <v>7.5366</v>
      </c>
    </row>
    <row r="1580" ht="14.45" customHeight="1" spans="1:6">
      <c r="A1580" s="7"/>
      <c r="B1580" s="7" t="s">
        <v>862</v>
      </c>
      <c r="C1580" s="7" t="s">
        <v>863</v>
      </c>
      <c r="D1580" s="34">
        <f>材料预算价!K11-材料预算价!L11</f>
        <v>4.58</v>
      </c>
      <c r="E1580" s="38"/>
      <c r="F1580" s="69">
        <f>D1580*E1580</f>
        <v>0</v>
      </c>
    </row>
    <row r="1581" ht="14.45" customHeight="1" spans="1:6">
      <c r="A1581" s="7" t="s">
        <v>135</v>
      </c>
      <c r="B1581" s="7" t="s">
        <v>849</v>
      </c>
      <c r="C1581" s="231">
        <f>C1533</f>
        <v>0.09</v>
      </c>
      <c r="D1581" s="34"/>
      <c r="E1581" s="34">
        <f>F1572+F1571+F1570+F1541</f>
        <v>41262.674431325</v>
      </c>
      <c r="F1581" s="34">
        <f>E1581*C1581</f>
        <v>3713.64069881925</v>
      </c>
    </row>
    <row r="1582" ht="14.45" customHeight="1" spans="1:6">
      <c r="A1582" s="7"/>
      <c r="B1582" s="7" t="s">
        <v>850</v>
      </c>
      <c r="C1582" s="231"/>
      <c r="D1582" s="34"/>
      <c r="E1582" s="34"/>
      <c r="F1582" s="34">
        <f>(F1541+F1570+F1571+F1572+F1581)*取费表!H4</f>
        <v>1349.28945390433</v>
      </c>
    </row>
    <row r="1583" ht="14.45" customHeight="1" spans="1:6">
      <c r="A1583" s="7"/>
      <c r="B1583" s="7" t="s">
        <v>156</v>
      </c>
      <c r="C1583" s="7"/>
      <c r="D1583" s="34"/>
      <c r="E1583" s="34"/>
      <c r="F1583" s="34">
        <f>F1581+E1581+F1582</f>
        <v>46325.6045840486</v>
      </c>
    </row>
    <row r="1584" ht="14.45" customHeight="1" spans="1:6">
      <c r="A1584" s="236" t="s">
        <v>828</v>
      </c>
      <c r="B1584" s="236"/>
      <c r="C1584" s="236"/>
      <c r="D1584" s="236"/>
      <c r="E1584" s="236"/>
      <c r="F1584" s="236"/>
    </row>
    <row r="1585" ht="14.45" customHeight="1" spans="1:6">
      <c r="A1585" s="278" t="s">
        <v>1044</v>
      </c>
      <c r="B1585" s="272"/>
      <c r="C1585" s="272"/>
      <c r="D1585" s="272"/>
      <c r="E1585" s="272"/>
      <c r="F1585" s="272"/>
    </row>
    <row r="1586" ht="14.45" customHeight="1" spans="1:6">
      <c r="A1586" s="227" t="s">
        <v>1041</v>
      </c>
      <c r="B1586" s="228"/>
      <c r="C1586" s="272"/>
      <c r="D1586" s="272"/>
      <c r="E1586" s="228" t="s">
        <v>832</v>
      </c>
      <c r="F1586" s="228"/>
    </row>
    <row r="1587" ht="14.45" customHeight="1" spans="1:6">
      <c r="A1587" s="146" t="s">
        <v>911</v>
      </c>
      <c r="B1587" s="233"/>
      <c r="C1587" s="233"/>
      <c r="D1587" s="233"/>
      <c r="E1587" s="233"/>
      <c r="F1587" s="147"/>
    </row>
    <row r="1588" ht="14.45" customHeight="1" spans="1:6">
      <c r="A1588" s="7" t="s">
        <v>104</v>
      </c>
      <c r="B1588" s="7" t="s">
        <v>835</v>
      </c>
      <c r="C1588" s="7" t="s">
        <v>159</v>
      </c>
      <c r="D1588" s="7" t="s">
        <v>422</v>
      </c>
      <c r="E1588" s="7" t="s">
        <v>160</v>
      </c>
      <c r="F1588" s="7" t="s">
        <v>18</v>
      </c>
    </row>
    <row r="1589" ht="14.45" customHeight="1" spans="1:6">
      <c r="A1589" s="7" t="s">
        <v>836</v>
      </c>
      <c r="B1589" s="7" t="s">
        <v>837</v>
      </c>
      <c r="C1589" s="7"/>
      <c r="D1589" s="7"/>
      <c r="E1589" s="7"/>
      <c r="F1589" s="34">
        <f>F1590+F1616+F1617</f>
        <v>30755.9412830998</v>
      </c>
    </row>
    <row r="1590" ht="14.45" customHeight="1" spans="1:6">
      <c r="A1590" s="7" t="s">
        <v>539</v>
      </c>
      <c r="B1590" s="7" t="s">
        <v>838</v>
      </c>
      <c r="C1590" s="7"/>
      <c r="D1590" s="7"/>
      <c r="E1590" s="7"/>
      <c r="F1590" s="34">
        <f>F1591+F1594+F1605+F1613</f>
        <v>29347.2722166982</v>
      </c>
    </row>
    <row r="1591" ht="14.45" customHeight="1" spans="1:6">
      <c r="A1591" s="7">
        <v>1</v>
      </c>
      <c r="B1591" s="7" t="s">
        <v>839</v>
      </c>
      <c r="C1591" s="7" t="s">
        <v>840</v>
      </c>
      <c r="D1591" s="34"/>
      <c r="E1591" s="42">
        <f>SUM(E1592:E1593)</f>
        <v>1000.9</v>
      </c>
      <c r="F1591" s="69">
        <f>SUM(F1592:F1593)</f>
        <v>7221.657</v>
      </c>
    </row>
    <row r="1592" ht="14.45" customHeight="1" spans="1:6">
      <c r="A1592" s="7"/>
      <c r="B1592" s="7" t="s">
        <v>841</v>
      </c>
      <c r="C1592" s="7" t="s">
        <v>840</v>
      </c>
      <c r="D1592" s="69">
        <f>D1544</f>
        <v>8.1</v>
      </c>
      <c r="E1592" s="42">
        <v>620.8</v>
      </c>
      <c r="F1592" s="69">
        <f>D1592*E1592</f>
        <v>5028.48</v>
      </c>
    </row>
    <row r="1593" ht="14.45" customHeight="1" spans="1:6">
      <c r="A1593" s="7"/>
      <c r="B1593" s="7" t="s">
        <v>842</v>
      </c>
      <c r="C1593" s="7" t="s">
        <v>840</v>
      </c>
      <c r="D1593" s="69">
        <f>D1545</f>
        <v>5.77</v>
      </c>
      <c r="E1593" s="42">
        <v>380.1</v>
      </c>
      <c r="F1593" s="69">
        <f>D1593*E1593</f>
        <v>2193.177</v>
      </c>
    </row>
    <row r="1594" ht="14.45" customHeight="1" spans="1:6">
      <c r="A1594" s="7">
        <v>2</v>
      </c>
      <c r="B1594" s="7" t="s">
        <v>912</v>
      </c>
      <c r="C1594" s="7"/>
      <c r="D1594" s="34"/>
      <c r="E1594" s="34"/>
      <c r="F1594" s="34">
        <f>SUM(F1595:F1604)</f>
        <v>19482.9679589002</v>
      </c>
    </row>
    <row r="1595" ht="14.45" customHeight="1" spans="1:6">
      <c r="A1595" s="7"/>
      <c r="B1595" s="273" t="s">
        <v>996</v>
      </c>
      <c r="C1595" s="273" t="s">
        <v>169</v>
      </c>
      <c r="D1595" s="34">
        <f>D1547</f>
        <v>2238.008025</v>
      </c>
      <c r="E1595" s="34">
        <v>0.03</v>
      </c>
      <c r="F1595" s="34">
        <f t="shared" ref="F1595:F1603" si="103">D1595*E1595</f>
        <v>67.14024075</v>
      </c>
    </row>
    <row r="1596" ht="14.45" customHeight="1" spans="1:6">
      <c r="A1596" s="7"/>
      <c r="B1596" s="273" t="s">
        <v>997</v>
      </c>
      <c r="C1596" s="273" t="s">
        <v>863</v>
      </c>
      <c r="D1596" s="34">
        <f t="shared" ref="D1596:D1603" si="104">D1548</f>
        <v>4.44</v>
      </c>
      <c r="E1596" s="34">
        <v>0.98</v>
      </c>
      <c r="F1596" s="34">
        <f t="shared" si="103"/>
        <v>4.3512</v>
      </c>
    </row>
    <row r="1597" ht="14.45" customHeight="1" spans="1:6">
      <c r="A1597" s="7"/>
      <c r="B1597" s="273" t="s">
        <v>998</v>
      </c>
      <c r="C1597" s="273" t="s">
        <v>863</v>
      </c>
      <c r="D1597" s="34">
        <f t="shared" si="104"/>
        <v>4.5</v>
      </c>
      <c r="E1597" s="34">
        <v>2.34</v>
      </c>
      <c r="F1597" s="34">
        <f t="shared" si="103"/>
        <v>10.53</v>
      </c>
    </row>
    <row r="1598" ht="14.45" customHeight="1" spans="1:6">
      <c r="A1598" s="7"/>
      <c r="B1598" s="273" t="s">
        <v>999</v>
      </c>
      <c r="C1598" s="273" t="s">
        <v>863</v>
      </c>
      <c r="D1598" s="34">
        <f t="shared" si="104"/>
        <v>5.15</v>
      </c>
      <c r="E1598" s="34">
        <v>3.14</v>
      </c>
      <c r="F1598" s="34">
        <f t="shared" si="103"/>
        <v>16.171</v>
      </c>
    </row>
    <row r="1599" ht="14.45" customHeight="1" spans="1:6">
      <c r="A1599" s="7"/>
      <c r="B1599" s="273" t="s">
        <v>1000</v>
      </c>
      <c r="C1599" s="273" t="s">
        <v>863</v>
      </c>
      <c r="D1599" s="34">
        <f t="shared" si="104"/>
        <v>4.5</v>
      </c>
      <c r="E1599" s="34">
        <v>0.07</v>
      </c>
      <c r="F1599" s="34">
        <f t="shared" si="103"/>
        <v>0.315</v>
      </c>
    </row>
    <row r="1600" ht="14.45" customHeight="1" spans="1:6">
      <c r="A1600" s="7"/>
      <c r="B1600" s="273" t="s">
        <v>1001</v>
      </c>
      <c r="C1600" s="273" t="s">
        <v>863</v>
      </c>
      <c r="D1600" s="34">
        <f t="shared" si="104"/>
        <v>6.39</v>
      </c>
      <c r="E1600" s="34">
        <v>3.65</v>
      </c>
      <c r="F1600" s="34">
        <f t="shared" si="103"/>
        <v>23.3235</v>
      </c>
    </row>
    <row r="1601" ht="14.45" customHeight="1" spans="1:6">
      <c r="A1601" s="7"/>
      <c r="B1601" s="273" t="s">
        <v>1002</v>
      </c>
      <c r="C1601" s="273" t="s">
        <v>863</v>
      </c>
      <c r="D1601" s="34">
        <f t="shared" si="104"/>
        <v>5.97</v>
      </c>
      <c r="E1601" s="34">
        <v>0.08</v>
      </c>
      <c r="F1601" s="34">
        <f t="shared" si="103"/>
        <v>0.4776</v>
      </c>
    </row>
    <row r="1602" ht="14.45" customHeight="1" spans="1:6">
      <c r="A1602" s="7"/>
      <c r="B1602" s="7" t="s">
        <v>1003</v>
      </c>
      <c r="C1602" s="7" t="s">
        <v>169</v>
      </c>
      <c r="D1602" s="34">
        <f>配合比!M9</f>
        <v>182.8439731</v>
      </c>
      <c r="E1602" s="34">
        <v>103</v>
      </c>
      <c r="F1602" s="34">
        <f t="shared" si="103"/>
        <v>18832.9292293</v>
      </c>
    </row>
    <row r="1603" ht="14.45" customHeight="1" spans="1:6">
      <c r="A1603" s="7"/>
      <c r="B1603" s="7" t="s">
        <v>913</v>
      </c>
      <c r="C1603" s="7" t="s">
        <v>169</v>
      </c>
      <c r="D1603" s="34">
        <f t="shared" si="104"/>
        <v>3.59</v>
      </c>
      <c r="E1603" s="34">
        <v>120</v>
      </c>
      <c r="F1603" s="34">
        <f t="shared" si="103"/>
        <v>430.8</v>
      </c>
    </row>
    <row r="1604" ht="14.45" customHeight="1" spans="1:6">
      <c r="A1604" s="7"/>
      <c r="B1604" s="7" t="s">
        <v>1004</v>
      </c>
      <c r="C1604" s="9" t="s">
        <v>845</v>
      </c>
      <c r="D1604" s="34">
        <f>F1595+F1596+F1597+F1598+F1599+F1600+F1601+F1602++F1603</f>
        <v>19386.03777005</v>
      </c>
      <c r="E1604" s="34">
        <v>0.5</v>
      </c>
      <c r="F1604" s="34">
        <f>D1604*E1604/100</f>
        <v>96.93018885025</v>
      </c>
    </row>
    <row r="1605" ht="14.45" customHeight="1" spans="1:6">
      <c r="A1605" s="7">
        <v>3</v>
      </c>
      <c r="B1605" s="7" t="s">
        <v>859</v>
      </c>
      <c r="C1605" s="7"/>
      <c r="D1605" s="34"/>
      <c r="E1605" s="34"/>
      <c r="F1605" s="34">
        <f>SUM(F1606:F1612)</f>
        <v>650.991066409852</v>
      </c>
    </row>
    <row r="1606" ht="14.45" customHeight="1" spans="1:6">
      <c r="A1606" s="7"/>
      <c r="B1606" s="7" t="s">
        <v>1005</v>
      </c>
      <c r="C1606" s="7" t="s">
        <v>428</v>
      </c>
      <c r="D1606" s="34">
        <f t="shared" ref="D1606:D1611" si="105">D1558</f>
        <v>49.389824491424</v>
      </c>
      <c r="E1606" s="34">
        <v>0.08</v>
      </c>
      <c r="F1606" s="34">
        <f t="shared" ref="F1606:F1611" si="106">D1606*E1606</f>
        <v>3.95118595931392</v>
      </c>
    </row>
    <row r="1607" ht="14.45" customHeight="1" spans="1:6">
      <c r="A1607" s="7"/>
      <c r="B1607" s="7" t="s">
        <v>1006</v>
      </c>
      <c r="C1607" s="7" t="s">
        <v>428</v>
      </c>
      <c r="D1607" s="34">
        <f t="shared" si="105"/>
        <v>62.3342780215397</v>
      </c>
      <c r="E1607" s="34">
        <v>0.12</v>
      </c>
      <c r="F1607" s="34">
        <f t="shared" si="106"/>
        <v>7.48011336258476</v>
      </c>
    </row>
    <row r="1608" ht="14.45" customHeight="1" spans="1:6">
      <c r="A1608" s="7"/>
      <c r="B1608" s="7" t="s">
        <v>1007</v>
      </c>
      <c r="C1608" s="7" t="s">
        <v>428</v>
      </c>
      <c r="D1608" s="34">
        <f t="shared" si="105"/>
        <v>8.3371858795373</v>
      </c>
      <c r="E1608" s="251">
        <v>0.12</v>
      </c>
      <c r="F1608" s="34">
        <f t="shared" si="106"/>
        <v>1.00046230554448</v>
      </c>
    </row>
    <row r="1609" ht="14.45" customHeight="1" spans="1:6">
      <c r="A1609" s="7"/>
      <c r="B1609" s="7" t="s">
        <v>1008</v>
      </c>
      <c r="C1609" s="7" t="s">
        <v>428</v>
      </c>
      <c r="D1609" s="34">
        <f t="shared" si="105"/>
        <v>23.9179521340247</v>
      </c>
      <c r="E1609" s="34">
        <v>18.54</v>
      </c>
      <c r="F1609" s="34">
        <f t="shared" si="106"/>
        <v>443.438832564818</v>
      </c>
    </row>
    <row r="1610" ht="14.45" customHeight="1" spans="1:6">
      <c r="A1610" s="7"/>
      <c r="B1610" s="7" t="s">
        <v>1021</v>
      </c>
      <c r="C1610" s="7" t="s">
        <v>428</v>
      </c>
      <c r="D1610" s="34">
        <f t="shared" si="105"/>
        <v>2.41252772237734</v>
      </c>
      <c r="E1610" s="34">
        <v>40.05</v>
      </c>
      <c r="F1610" s="34">
        <f t="shared" si="106"/>
        <v>96.6217352812126</v>
      </c>
    </row>
    <row r="1611" ht="14.45" customHeight="1" spans="1:6">
      <c r="A1611" s="7"/>
      <c r="B1611" s="7" t="s">
        <v>967</v>
      </c>
      <c r="C1611" s="7" t="s">
        <v>428</v>
      </c>
      <c r="D1611" s="34">
        <f t="shared" si="105"/>
        <v>0.813242919824491</v>
      </c>
      <c r="E1611" s="34">
        <v>83</v>
      </c>
      <c r="F1611" s="34">
        <f t="shared" si="106"/>
        <v>67.4991623454328</v>
      </c>
    </row>
    <row r="1612" ht="14.45" customHeight="1" spans="1:6">
      <c r="A1612" s="7"/>
      <c r="B1612" s="7" t="s">
        <v>918</v>
      </c>
      <c r="C1612" s="9" t="s">
        <v>845</v>
      </c>
      <c r="D1612" s="34">
        <f>SUM(F1606:F1611)</f>
        <v>619.991491818907</v>
      </c>
      <c r="E1612" s="247">
        <v>5</v>
      </c>
      <c r="F1612" s="34">
        <f>D1612*E1612/100</f>
        <v>30.9995745909454</v>
      </c>
    </row>
    <row r="1613" ht="14.45" customHeight="1" spans="1:6">
      <c r="A1613" s="7">
        <v>4</v>
      </c>
      <c r="B1613" s="7" t="s">
        <v>1010</v>
      </c>
      <c r="C1613" s="9"/>
      <c r="D1613" s="34"/>
      <c r="E1613" s="34"/>
      <c r="F1613" s="34">
        <f>SUM(F1614:F1615)</f>
        <v>1991.65619138815</v>
      </c>
    </row>
    <row r="1614" ht="14.45" customHeight="1" spans="1:6">
      <c r="A1614" s="7"/>
      <c r="B1614" s="123" t="s">
        <v>681</v>
      </c>
      <c r="C1614" s="123" t="s">
        <v>169</v>
      </c>
      <c r="D1614" s="274">
        <f>$F$2795/100</f>
        <v>5.03319379720782</v>
      </c>
      <c r="E1614" s="274">
        <v>103</v>
      </c>
      <c r="F1614" s="34">
        <f>D1614*E1614</f>
        <v>518.418961112405</v>
      </c>
    </row>
    <row r="1615" ht="14.45" customHeight="1" spans="1:6">
      <c r="A1615" s="7"/>
      <c r="B1615" s="123" t="s">
        <v>682</v>
      </c>
      <c r="C1615" s="123" t="s">
        <v>169</v>
      </c>
      <c r="D1615" s="274">
        <f>$F$2813/100</f>
        <v>14.303274080347</v>
      </c>
      <c r="E1615" s="274">
        <v>103</v>
      </c>
      <c r="F1615" s="34">
        <f>D1615*E1615</f>
        <v>1473.23723027574</v>
      </c>
    </row>
    <row r="1616" ht="14.45" customHeight="1" spans="1:6">
      <c r="A1616" s="7" t="s">
        <v>564</v>
      </c>
      <c r="B1616" s="7" t="s">
        <v>846</v>
      </c>
      <c r="C1616" s="230">
        <f>取费表!$C$7</f>
        <v>0.048</v>
      </c>
      <c r="D1616" s="274"/>
      <c r="E1616" s="274">
        <f>F1590</f>
        <v>29347.2722166982</v>
      </c>
      <c r="F1616" s="34">
        <f>E1616*C1616</f>
        <v>1408.66906640152</v>
      </c>
    </row>
    <row r="1617" ht="14.45" customHeight="1" spans="1:6">
      <c r="A1617" s="7"/>
      <c r="B1617" s="7"/>
      <c r="C1617" s="230"/>
      <c r="D1617" s="274"/>
      <c r="E1617" s="274"/>
      <c r="F1617" s="34"/>
    </row>
    <row r="1618" ht="14.45" customHeight="1" spans="1:6">
      <c r="A1618" s="7" t="s">
        <v>439</v>
      </c>
      <c r="B1618" s="7" t="s">
        <v>847</v>
      </c>
      <c r="C1618" s="230">
        <f>取费表!$E$7</f>
        <v>0.07</v>
      </c>
      <c r="D1618" s="274"/>
      <c r="E1618" s="274">
        <f>F1589</f>
        <v>30755.9412830998</v>
      </c>
      <c r="F1618" s="34">
        <f>E1618*C1618</f>
        <v>2152.91588981698</v>
      </c>
    </row>
    <row r="1619" ht="14.45" customHeight="1" spans="1:6">
      <c r="A1619" s="7" t="s">
        <v>83</v>
      </c>
      <c r="B1619" s="7" t="s">
        <v>848</v>
      </c>
      <c r="C1619" s="230">
        <f>取费表!$F$7</f>
        <v>0.07</v>
      </c>
      <c r="D1619" s="274"/>
      <c r="E1619" s="274">
        <f>F1618+F1589</f>
        <v>32908.8571729167</v>
      </c>
      <c r="F1619" s="34">
        <f>E1619*C1619</f>
        <v>2303.62000210417</v>
      </c>
    </row>
    <row r="1620" ht="14.45" customHeight="1" spans="1:6">
      <c r="A1620" s="7" t="s">
        <v>121</v>
      </c>
      <c r="B1620" s="7" t="s">
        <v>861</v>
      </c>
      <c r="C1620" s="9"/>
      <c r="D1620" s="34"/>
      <c r="E1620" s="7"/>
      <c r="F1620" s="69">
        <f>F1621+F1626</f>
        <v>13811.4911688951</v>
      </c>
    </row>
    <row r="1621" ht="14.45" customHeight="1" spans="1:6">
      <c r="A1621" s="7">
        <v>1</v>
      </c>
      <c r="B1621" s="7" t="s">
        <v>1011</v>
      </c>
      <c r="C1621" s="9"/>
      <c r="D1621" s="34"/>
      <c r="E1621" s="7"/>
      <c r="F1621" s="69">
        <f>SUM(F1622:F1625)</f>
        <v>13803.9545688951</v>
      </c>
    </row>
    <row r="1622" ht="14.45" customHeight="1" spans="1:6">
      <c r="A1622" s="7"/>
      <c r="B1622" s="7"/>
      <c r="C1622" s="7"/>
      <c r="D1622" s="34"/>
      <c r="E1622" s="34"/>
      <c r="F1622" s="69"/>
    </row>
    <row r="1623" ht="14.45" customHeight="1" spans="1:6">
      <c r="A1623" s="7"/>
      <c r="B1623" s="7" t="s">
        <v>983</v>
      </c>
      <c r="C1623" s="7" t="s">
        <v>200</v>
      </c>
      <c r="D1623" s="34">
        <f>材料预算价!K6-材料预算价!L6</f>
        <v>265.23946</v>
      </c>
      <c r="E1623" s="34">
        <f>E1528</f>
        <v>35.641914</v>
      </c>
      <c r="F1623" s="69">
        <f>D1623*E1623</f>
        <v>9453.64202272644</v>
      </c>
    </row>
    <row r="1624" ht="14.45" customHeight="1" spans="1:6">
      <c r="A1624" s="7"/>
      <c r="B1624" s="7" t="s">
        <v>961</v>
      </c>
      <c r="C1624" s="7" t="s">
        <v>169</v>
      </c>
      <c r="D1624" s="34">
        <f>D1576</f>
        <v>34.366056</v>
      </c>
      <c r="E1624" s="34">
        <f>E1529</f>
        <v>62.17904</v>
      </c>
      <c r="F1624" s="69">
        <f>D1624*E1624</f>
        <v>2136.84837066624</v>
      </c>
    </row>
    <row r="1625" ht="14.45" customHeight="1" spans="1:6">
      <c r="A1625" s="7"/>
      <c r="B1625" s="7" t="s">
        <v>1012</v>
      </c>
      <c r="C1625" s="7" t="s">
        <v>169</v>
      </c>
      <c r="D1625" s="34">
        <f>D1577</f>
        <v>29.13701</v>
      </c>
      <c r="E1625" s="34">
        <f>E1530</f>
        <v>75.967444</v>
      </c>
      <c r="F1625" s="69">
        <f>D1625*E1625</f>
        <v>2213.46417550244</v>
      </c>
    </row>
    <row r="1626" ht="14.45" customHeight="1" spans="1:6">
      <c r="A1626" s="7">
        <v>2</v>
      </c>
      <c r="B1626" s="7" t="s">
        <v>1013</v>
      </c>
      <c r="C1626" s="7"/>
      <c r="D1626" s="34"/>
      <c r="E1626" s="38"/>
      <c r="F1626" s="69">
        <f>SUM(F1627:F1628)</f>
        <v>7.5366</v>
      </c>
    </row>
    <row r="1627" ht="14.45" customHeight="1" spans="1:6">
      <c r="A1627" s="7"/>
      <c r="B1627" s="7" t="s">
        <v>1014</v>
      </c>
      <c r="C1627" s="7" t="s">
        <v>863</v>
      </c>
      <c r="D1627" s="34">
        <f>D1579</f>
        <v>5.925</v>
      </c>
      <c r="E1627" s="38">
        <f>(E1606*7.2+E1607*5.8)</f>
        <v>1.272</v>
      </c>
      <c r="F1627" s="69">
        <f>D1627*E1627</f>
        <v>7.5366</v>
      </c>
    </row>
    <row r="1628" ht="14.45" customHeight="1" spans="1:6">
      <c r="A1628" s="7"/>
      <c r="B1628" s="7" t="s">
        <v>862</v>
      </c>
      <c r="C1628" s="7" t="s">
        <v>863</v>
      </c>
      <c r="D1628" s="34">
        <f>D1580</f>
        <v>4.58</v>
      </c>
      <c r="E1628" s="38"/>
      <c r="F1628" s="69">
        <f>D1628*E1628</f>
        <v>0</v>
      </c>
    </row>
    <row r="1629" ht="14.45" customHeight="1" spans="1:6">
      <c r="A1629" s="7" t="s">
        <v>135</v>
      </c>
      <c r="B1629" s="7" t="s">
        <v>849</v>
      </c>
      <c r="C1629" s="231">
        <f>C1581</f>
        <v>0.09</v>
      </c>
      <c r="D1629" s="34"/>
      <c r="E1629" s="34">
        <f>F1620+F1619+F1618+F1589</f>
        <v>49023.9683439161</v>
      </c>
      <c r="F1629" s="34">
        <f>E1629*C1629</f>
        <v>4412.15715095244</v>
      </c>
    </row>
    <row r="1630" ht="14.45" customHeight="1" spans="1:6">
      <c r="A1630" s="7"/>
      <c r="B1630" s="7" t="s">
        <v>850</v>
      </c>
      <c r="C1630" s="231"/>
      <c r="D1630" s="34"/>
      <c r="E1630" s="34"/>
      <c r="F1630" s="34">
        <f>(F1589+F1618+F1619+F1620+F1629)*取费表!H7</f>
        <v>1603.08376484605</v>
      </c>
    </row>
    <row r="1631" ht="14.45" customHeight="1" spans="1:6">
      <c r="A1631" s="7"/>
      <c r="B1631" s="7" t="s">
        <v>156</v>
      </c>
      <c r="C1631" s="7"/>
      <c r="D1631" s="34"/>
      <c r="E1631" s="34"/>
      <c r="F1631" s="34">
        <f>F1629+E1629+F1630</f>
        <v>55039.2092597146</v>
      </c>
    </row>
    <row r="1632" customHeight="1" spans="1:6">
      <c r="A1632" s="236" t="s">
        <v>828</v>
      </c>
      <c r="B1632" s="236"/>
      <c r="C1632" s="236"/>
      <c r="D1632" s="236"/>
      <c r="E1632" s="236"/>
      <c r="F1632" s="236"/>
    </row>
    <row r="1633" ht="14.45" customHeight="1" spans="1:6">
      <c r="A1633" s="271" t="s">
        <v>1045</v>
      </c>
      <c r="B1633" s="272"/>
      <c r="C1633" s="272"/>
      <c r="D1633" s="272"/>
      <c r="E1633" s="272"/>
      <c r="F1633" s="272"/>
    </row>
    <row r="1634" ht="14.45" customHeight="1" spans="1:6">
      <c r="A1634" s="228" t="s">
        <v>1046</v>
      </c>
      <c r="B1634" s="228"/>
      <c r="C1634" s="229"/>
      <c r="D1634" s="229"/>
      <c r="E1634" s="228" t="s">
        <v>832</v>
      </c>
      <c r="F1634" s="228"/>
    </row>
    <row r="1635" ht="14.45" customHeight="1" spans="1:6">
      <c r="A1635" s="146" t="s">
        <v>1047</v>
      </c>
      <c r="B1635" s="233"/>
      <c r="C1635" s="233"/>
      <c r="D1635" s="233"/>
      <c r="E1635" s="233"/>
      <c r="F1635" s="147"/>
    </row>
    <row r="1636" ht="14.45" customHeight="1" spans="1:6">
      <c r="A1636" s="7" t="s">
        <v>104</v>
      </c>
      <c r="B1636" s="7" t="s">
        <v>835</v>
      </c>
      <c r="C1636" s="7" t="s">
        <v>159</v>
      </c>
      <c r="D1636" s="7" t="s">
        <v>422</v>
      </c>
      <c r="E1636" s="7" t="s">
        <v>160</v>
      </c>
      <c r="F1636" s="7" t="s">
        <v>18</v>
      </c>
    </row>
    <row r="1637" ht="14.45" customHeight="1" spans="1:6">
      <c r="A1637" s="7" t="s">
        <v>836</v>
      </c>
      <c r="B1637" s="7" t="s">
        <v>837</v>
      </c>
      <c r="C1637" s="7"/>
      <c r="D1637" s="7"/>
      <c r="E1637" s="279"/>
      <c r="F1637" s="34">
        <f>F1638+F1663+F1664</f>
        <v>33982.222696412</v>
      </c>
    </row>
    <row r="1638" ht="14.45" customHeight="1" spans="1:6">
      <c r="A1638" s="7" t="s">
        <v>539</v>
      </c>
      <c r="B1638" s="7" t="s">
        <v>838</v>
      </c>
      <c r="C1638" s="7"/>
      <c r="D1638" s="7"/>
      <c r="E1638" s="279"/>
      <c r="F1638" s="247">
        <f>F1639+F1642+F1652+F1660</f>
        <v>32425.7850156603</v>
      </c>
    </row>
    <row r="1639" ht="14.45" customHeight="1" spans="1:6">
      <c r="A1639" s="7">
        <v>1</v>
      </c>
      <c r="B1639" s="7" t="s">
        <v>839</v>
      </c>
      <c r="C1639" s="7" t="s">
        <v>840</v>
      </c>
      <c r="D1639" s="34"/>
      <c r="E1639" s="280">
        <f>SUM(E1640:E1641)</f>
        <v>1486.1</v>
      </c>
      <c r="F1639" s="69">
        <f>SUM(F1640:F1641)</f>
        <v>10790.86</v>
      </c>
    </row>
    <row r="1640" s="217" customFormat="1" ht="14.45" customHeight="1" spans="1:6">
      <c r="A1640" s="7"/>
      <c r="B1640" s="7" t="s">
        <v>841</v>
      </c>
      <c r="C1640" s="7" t="s">
        <v>840</v>
      </c>
      <c r="D1640" s="69">
        <f>D1544</f>
        <v>8.1</v>
      </c>
      <c r="E1640" s="281">
        <v>951.1</v>
      </c>
      <c r="F1640" s="282">
        <f>D1640*E1640</f>
        <v>7703.91</v>
      </c>
    </row>
    <row r="1641" s="217" customFormat="1" ht="14.45" customHeight="1" spans="1:6">
      <c r="A1641" s="7"/>
      <c r="B1641" s="7" t="s">
        <v>842</v>
      </c>
      <c r="C1641" s="7" t="s">
        <v>840</v>
      </c>
      <c r="D1641" s="69">
        <f>D1545</f>
        <v>5.77</v>
      </c>
      <c r="E1641" s="281">
        <v>535</v>
      </c>
      <c r="F1641" s="282">
        <f>D1641*E1641</f>
        <v>3086.95</v>
      </c>
    </row>
    <row r="1642" ht="14.45" customHeight="1" spans="1:6">
      <c r="A1642" s="7">
        <v>2</v>
      </c>
      <c r="B1642" s="7" t="s">
        <v>912</v>
      </c>
      <c r="C1642" s="7"/>
      <c r="D1642" s="34"/>
      <c r="E1642" s="34"/>
      <c r="F1642" s="34">
        <f>SUM(F1643:F1651)</f>
        <v>18875.2162405605</v>
      </c>
    </row>
    <row r="1643" ht="14.45" customHeight="1" spans="1:6">
      <c r="A1643" s="7"/>
      <c r="B1643" s="273" t="s">
        <v>996</v>
      </c>
      <c r="C1643" s="273" t="s">
        <v>169</v>
      </c>
      <c r="D1643" s="34">
        <f>D1547</f>
        <v>2238.008025</v>
      </c>
      <c r="E1643" s="34">
        <v>0.4</v>
      </c>
      <c r="F1643" s="34">
        <f t="shared" ref="F1643:F1650" si="107">D1643*E1643</f>
        <v>895.20321</v>
      </c>
    </row>
    <row r="1644" ht="14.45" customHeight="1" spans="1:6">
      <c r="A1644" s="7"/>
      <c r="B1644" s="273" t="s">
        <v>997</v>
      </c>
      <c r="C1644" s="273" t="s">
        <v>863</v>
      </c>
      <c r="D1644" s="34">
        <f>基础材料表!D34</f>
        <v>4.44</v>
      </c>
      <c r="E1644" s="34">
        <v>52.08</v>
      </c>
      <c r="F1644" s="34">
        <f t="shared" si="107"/>
        <v>231.2352</v>
      </c>
    </row>
    <row r="1645" ht="14.45" customHeight="1" spans="1:6">
      <c r="A1645" s="7"/>
      <c r="B1645" s="273" t="s">
        <v>998</v>
      </c>
      <c r="C1645" s="273" t="s">
        <v>863</v>
      </c>
      <c r="D1645" s="34">
        <f>基础材料表!D30</f>
        <v>4.5</v>
      </c>
      <c r="E1645" s="34">
        <v>42.2</v>
      </c>
      <c r="F1645" s="34">
        <f t="shared" si="107"/>
        <v>189.9</v>
      </c>
    </row>
    <row r="1646" ht="14.45" customHeight="1" spans="1:6">
      <c r="A1646" s="7"/>
      <c r="B1646" s="273" t="s">
        <v>999</v>
      </c>
      <c r="C1646" s="273" t="s">
        <v>863</v>
      </c>
      <c r="D1646" s="34">
        <f>基础材料表!D16</f>
        <v>5.15</v>
      </c>
      <c r="E1646" s="34">
        <v>22.32</v>
      </c>
      <c r="F1646" s="34">
        <f t="shared" si="107"/>
        <v>114.948</v>
      </c>
    </row>
    <row r="1647" ht="14.45" customHeight="1" spans="1:6">
      <c r="A1647" s="7"/>
      <c r="B1647" s="273" t="s">
        <v>1000</v>
      </c>
      <c r="C1647" s="273" t="s">
        <v>863</v>
      </c>
      <c r="D1647" s="34">
        <f>基础材料表!D28</f>
        <v>4.5</v>
      </c>
      <c r="E1647" s="34">
        <v>67.3</v>
      </c>
      <c r="F1647" s="34">
        <f t="shared" si="107"/>
        <v>302.85</v>
      </c>
    </row>
    <row r="1648" ht="14.45" customHeight="1" spans="1:6">
      <c r="A1648" s="7"/>
      <c r="B1648" s="273" t="s">
        <v>1002</v>
      </c>
      <c r="C1648" s="273" t="s">
        <v>863</v>
      </c>
      <c r="D1648" s="34">
        <f>基础材料表!D5</f>
        <v>5.97</v>
      </c>
      <c r="E1648" s="34">
        <v>1.5</v>
      </c>
      <c r="F1648" s="34">
        <f t="shared" si="107"/>
        <v>8.955</v>
      </c>
    </row>
    <row r="1649" ht="14.45" customHeight="1" spans="1:6">
      <c r="A1649" s="7"/>
      <c r="B1649" s="7" t="s">
        <v>1043</v>
      </c>
      <c r="C1649" s="7" t="s">
        <v>169</v>
      </c>
      <c r="D1649" s="34">
        <f>配合比!M6</f>
        <v>161.2370707</v>
      </c>
      <c r="E1649" s="34">
        <v>103</v>
      </c>
      <c r="F1649" s="34">
        <f t="shared" si="107"/>
        <v>16607.4182821</v>
      </c>
    </row>
    <row r="1650" ht="14.45" customHeight="1" spans="1:6">
      <c r="A1650" s="7"/>
      <c r="B1650" s="7" t="s">
        <v>913</v>
      </c>
      <c r="C1650" s="7" t="s">
        <v>169</v>
      </c>
      <c r="D1650" s="34">
        <f>材料预算价!K13</f>
        <v>3.59</v>
      </c>
      <c r="E1650" s="34">
        <v>120</v>
      </c>
      <c r="F1650" s="34">
        <f t="shared" si="107"/>
        <v>430.8</v>
      </c>
    </row>
    <row r="1651" ht="14.45" customHeight="1" spans="1:6">
      <c r="A1651" s="7"/>
      <c r="B1651" s="7" t="s">
        <v>1004</v>
      </c>
      <c r="C1651" s="9" t="s">
        <v>845</v>
      </c>
      <c r="D1651" s="34">
        <f>F1643+F1644+F1645+F1646+F1647+F1648+F1649++F1650</f>
        <v>18781.3096921</v>
      </c>
      <c r="E1651" s="34">
        <v>0.5</v>
      </c>
      <c r="F1651" s="34">
        <f>D1651*E1651/100</f>
        <v>93.9065484605</v>
      </c>
    </row>
    <row r="1652" ht="14.45" customHeight="1" spans="1:6">
      <c r="A1652" s="7">
        <v>3</v>
      </c>
      <c r="B1652" s="7" t="s">
        <v>859</v>
      </c>
      <c r="C1652" s="7"/>
      <c r="D1652" s="34"/>
      <c r="E1652" s="34"/>
      <c r="F1652" s="34">
        <f>SUM(F1653:F1659)</f>
        <v>768.052583711667</v>
      </c>
    </row>
    <row r="1653" ht="14.45" customHeight="1" spans="1:6">
      <c r="A1653" s="7"/>
      <c r="B1653" s="7" t="s">
        <v>1005</v>
      </c>
      <c r="C1653" s="7" t="s">
        <v>428</v>
      </c>
      <c r="D1653" s="34">
        <f t="shared" ref="D1653:D1658" si="108">D1558</f>
        <v>49.389824491424</v>
      </c>
      <c r="E1653" s="34">
        <v>1.5012</v>
      </c>
      <c r="F1653" s="34">
        <f t="shared" ref="F1653:F1658" si="109">D1653*E1653</f>
        <v>74.1440045265257</v>
      </c>
    </row>
    <row r="1654" ht="14.45" customHeight="1" spans="1:6">
      <c r="A1654" s="7"/>
      <c r="B1654" s="7" t="s">
        <v>1006</v>
      </c>
      <c r="C1654" s="7" t="s">
        <v>428</v>
      </c>
      <c r="D1654" s="34">
        <f t="shared" si="108"/>
        <v>62.3342780215397</v>
      </c>
      <c r="E1654" s="34">
        <v>0.35</v>
      </c>
      <c r="F1654" s="34">
        <f t="shared" si="109"/>
        <v>21.8169973075389</v>
      </c>
    </row>
    <row r="1655" ht="14.45" customHeight="1" spans="1:6">
      <c r="A1655" s="7"/>
      <c r="B1655" s="7" t="s">
        <v>1007</v>
      </c>
      <c r="C1655" s="7" t="s">
        <v>428</v>
      </c>
      <c r="D1655" s="34">
        <f t="shared" si="108"/>
        <v>8.3371858795373</v>
      </c>
      <c r="E1655" s="251">
        <v>3.3534</v>
      </c>
      <c r="F1655" s="34">
        <f t="shared" si="109"/>
        <v>27.9579191284404</v>
      </c>
    </row>
    <row r="1656" ht="14.45" customHeight="1" spans="1:6">
      <c r="A1656" s="7"/>
      <c r="B1656" s="7" t="s">
        <v>1048</v>
      </c>
      <c r="C1656" s="7" t="s">
        <v>428</v>
      </c>
      <c r="D1656" s="34">
        <f t="shared" si="108"/>
        <v>23.9179521340247</v>
      </c>
      <c r="E1656" s="34">
        <v>18.54</v>
      </c>
      <c r="F1656" s="34">
        <f t="shared" si="109"/>
        <v>443.438832564818</v>
      </c>
    </row>
    <row r="1657" ht="14.45" customHeight="1" spans="1:6">
      <c r="A1657" s="7"/>
      <c r="B1657" s="7" t="s">
        <v>1021</v>
      </c>
      <c r="C1657" s="7" t="s">
        <v>428</v>
      </c>
      <c r="D1657" s="34">
        <f t="shared" si="108"/>
        <v>2.41252772237734</v>
      </c>
      <c r="E1657" s="254">
        <v>40.05</v>
      </c>
      <c r="F1657" s="34">
        <f t="shared" si="109"/>
        <v>96.6217352812126</v>
      </c>
    </row>
    <row r="1658" ht="14.45" customHeight="1" spans="1:6">
      <c r="A1658" s="7"/>
      <c r="B1658" s="7" t="s">
        <v>967</v>
      </c>
      <c r="C1658" s="7" t="s">
        <v>428</v>
      </c>
      <c r="D1658" s="34">
        <f t="shared" si="108"/>
        <v>0.813242919824491</v>
      </c>
      <c r="E1658" s="34">
        <v>83</v>
      </c>
      <c r="F1658" s="34">
        <f t="shared" si="109"/>
        <v>67.4991623454328</v>
      </c>
    </row>
    <row r="1659" ht="14.45" customHeight="1" spans="1:6">
      <c r="A1659" s="7"/>
      <c r="B1659" s="7" t="s">
        <v>918</v>
      </c>
      <c r="C1659" s="9" t="s">
        <v>845</v>
      </c>
      <c r="D1659" s="34">
        <f>SUM(F1653:F1658)</f>
        <v>731.478651153969</v>
      </c>
      <c r="E1659" s="34">
        <v>5</v>
      </c>
      <c r="F1659" s="34">
        <f>D1659*E1659/100</f>
        <v>36.5739325576984</v>
      </c>
    </row>
    <row r="1660" s="216" customFormat="1" ht="14.45" customHeight="1" spans="1:6">
      <c r="A1660" s="7">
        <v>4</v>
      </c>
      <c r="B1660" s="7" t="s">
        <v>1010</v>
      </c>
      <c r="C1660" s="9"/>
      <c r="D1660" s="34"/>
      <c r="E1660" s="34"/>
      <c r="F1660" s="34">
        <f>SUM(F1661:F1662)</f>
        <v>1991.65619138815</v>
      </c>
    </row>
    <row r="1661" s="216" customFormat="1" ht="14.45" customHeight="1" spans="1:6">
      <c r="A1661" s="7"/>
      <c r="B1661" s="123" t="s">
        <v>681</v>
      </c>
      <c r="C1661" s="123" t="s">
        <v>169</v>
      </c>
      <c r="D1661" s="274">
        <f>$F$2795/100</f>
        <v>5.03319379720782</v>
      </c>
      <c r="E1661" s="274">
        <v>103</v>
      </c>
      <c r="F1661" s="34">
        <f>D1661*E1661</f>
        <v>518.418961112405</v>
      </c>
    </row>
    <row r="1662" s="216" customFormat="1" ht="14.45" customHeight="1" spans="1:6">
      <c r="A1662" s="7"/>
      <c r="B1662" s="123" t="s">
        <v>682</v>
      </c>
      <c r="C1662" s="123" t="s">
        <v>169</v>
      </c>
      <c r="D1662" s="274">
        <f>$F$2813/100</f>
        <v>14.303274080347</v>
      </c>
      <c r="E1662" s="274">
        <v>103</v>
      </c>
      <c r="F1662" s="34">
        <f>D1662*E1662</f>
        <v>1473.23723027574</v>
      </c>
    </row>
    <row r="1663" s="216" customFormat="1" ht="14.45" customHeight="1" spans="1:6">
      <c r="A1663" s="7" t="s">
        <v>564</v>
      </c>
      <c r="B1663" s="7" t="s">
        <v>846</v>
      </c>
      <c r="C1663" s="230">
        <f>取费表!$C$7</f>
        <v>0.048</v>
      </c>
      <c r="D1663" s="274"/>
      <c r="E1663" s="274">
        <f>F1638</f>
        <v>32425.7850156603</v>
      </c>
      <c r="F1663" s="34">
        <f>E1663*C1663</f>
        <v>1556.4376807517</v>
      </c>
    </row>
    <row r="1664" s="216" customFormat="1" ht="14.45" customHeight="1" spans="1:6">
      <c r="A1664" s="7"/>
      <c r="B1664" s="7"/>
      <c r="C1664" s="230"/>
      <c r="D1664" s="274"/>
      <c r="E1664" s="274"/>
      <c r="F1664" s="34"/>
    </row>
    <row r="1665" s="216" customFormat="1" ht="14.45" customHeight="1" spans="1:6">
      <c r="A1665" s="7" t="s">
        <v>439</v>
      </c>
      <c r="B1665" s="7" t="s">
        <v>847</v>
      </c>
      <c r="C1665" s="230">
        <f>取费表!$E$7</f>
        <v>0.07</v>
      </c>
      <c r="D1665" s="274"/>
      <c r="E1665" s="274">
        <f>F1637</f>
        <v>33982.222696412</v>
      </c>
      <c r="F1665" s="34">
        <f>E1665*C1665</f>
        <v>2378.75558874884</v>
      </c>
    </row>
    <row r="1666" s="216" customFormat="1" ht="14.45" customHeight="1" spans="1:6">
      <c r="A1666" s="7" t="s">
        <v>83</v>
      </c>
      <c r="B1666" s="7" t="s">
        <v>848</v>
      </c>
      <c r="C1666" s="230">
        <f>取费表!$F$7</f>
        <v>0.07</v>
      </c>
      <c r="D1666" s="274"/>
      <c r="E1666" s="274">
        <f>F1665+F1637</f>
        <v>36360.9782851609</v>
      </c>
      <c r="F1666" s="34">
        <f>E1666*C1666</f>
        <v>2545.26847996126</v>
      </c>
    </row>
    <row r="1667" s="220" customFormat="1" ht="14.45" customHeight="1" spans="1:6">
      <c r="A1667" s="5" t="s">
        <v>121</v>
      </c>
      <c r="B1667" s="5" t="s">
        <v>861</v>
      </c>
      <c r="C1667" s="275"/>
      <c r="D1667" s="276"/>
      <c r="E1667" s="5"/>
      <c r="F1667" s="277">
        <f>F1668+F1673</f>
        <v>8157.88887978246</v>
      </c>
    </row>
    <row r="1668" ht="14.45" customHeight="1" spans="1:6">
      <c r="A1668" s="7">
        <v>1</v>
      </c>
      <c r="B1668" s="7" t="s">
        <v>1011</v>
      </c>
      <c r="C1668" s="9"/>
      <c r="D1668" s="34"/>
      <c r="E1668" s="7"/>
      <c r="F1668" s="69">
        <f>SUM(F1669:F1672)</f>
        <v>8081.81993778246</v>
      </c>
    </row>
    <row r="1669" ht="14.45" customHeight="1" spans="1:6">
      <c r="A1669" s="7"/>
      <c r="B1669" s="7"/>
      <c r="C1669" s="7"/>
      <c r="D1669" s="34"/>
      <c r="E1669" s="34"/>
      <c r="F1669" s="69"/>
    </row>
    <row r="1670" ht="14.45" customHeight="1" spans="1:6">
      <c r="A1670" s="7"/>
      <c r="B1670" s="7" t="s">
        <v>979</v>
      </c>
      <c r="C1670" s="7" t="s">
        <v>200</v>
      </c>
      <c r="D1670" s="34">
        <f>D1575</f>
        <v>141.58936</v>
      </c>
      <c r="E1670" s="34">
        <f>E1649*配合比!E6</f>
        <v>25.23059572</v>
      </c>
      <c r="F1670" s="69">
        <f>D1670*E1670</f>
        <v>3572.38390041354</v>
      </c>
    </row>
    <row r="1671" ht="14.45" customHeight="1" spans="1:6">
      <c r="A1671" s="7"/>
      <c r="B1671" s="7" t="s">
        <v>961</v>
      </c>
      <c r="C1671" s="7" t="s">
        <v>169</v>
      </c>
      <c r="D1671" s="34">
        <f>D1624</f>
        <v>34.366056</v>
      </c>
      <c r="E1671" s="34">
        <f>E1649*配合比!G6</f>
        <v>57.73768</v>
      </c>
      <c r="F1671" s="69">
        <f>D1671*E1671</f>
        <v>1984.21634419008</v>
      </c>
    </row>
    <row r="1672" ht="14.45" customHeight="1" spans="1:6">
      <c r="A1672" s="7"/>
      <c r="B1672" s="7" t="s">
        <v>1012</v>
      </c>
      <c r="C1672" s="7" t="s">
        <v>169</v>
      </c>
      <c r="D1672" s="34">
        <f>材料预算价!K8-材料预算价!L8</f>
        <v>29.13701</v>
      </c>
      <c r="E1672" s="34">
        <f>E1649*配合比!I6</f>
        <v>86.667084</v>
      </c>
      <c r="F1672" s="69">
        <f>D1672*E1672</f>
        <v>2525.21969317884</v>
      </c>
    </row>
    <row r="1673" ht="14.45" customHeight="1" spans="1:6">
      <c r="A1673" s="7">
        <v>2</v>
      </c>
      <c r="B1673" s="7" t="s">
        <v>1013</v>
      </c>
      <c r="C1673" s="7"/>
      <c r="D1673" s="34"/>
      <c r="E1673" s="38"/>
      <c r="F1673" s="69">
        <f>SUM(F1674:F1675)</f>
        <v>76.068942</v>
      </c>
    </row>
    <row r="1674" ht="14.45" customHeight="1" spans="1:6">
      <c r="A1674" s="7"/>
      <c r="B1674" s="7" t="s">
        <v>1014</v>
      </c>
      <c r="C1674" s="7" t="s">
        <v>863</v>
      </c>
      <c r="D1674" s="34">
        <f>材料预算价!K12-材料预算价!L12</f>
        <v>5.925</v>
      </c>
      <c r="E1674" s="38">
        <f>(E1653*7.2+E1654*5.8)</f>
        <v>12.83864</v>
      </c>
      <c r="F1674" s="69">
        <f>D1674*E1674</f>
        <v>76.068942</v>
      </c>
    </row>
    <row r="1675" ht="14.45" customHeight="1" spans="1:6">
      <c r="A1675" s="7"/>
      <c r="B1675" s="7" t="s">
        <v>862</v>
      </c>
      <c r="C1675" s="7" t="s">
        <v>863</v>
      </c>
      <c r="D1675" s="34">
        <f>材料预算价!K11-材料预算价!L11</f>
        <v>4.58</v>
      </c>
      <c r="E1675" s="38"/>
      <c r="F1675" s="69">
        <f>D1675*E1675</f>
        <v>0</v>
      </c>
    </row>
    <row r="1676" ht="14.45" customHeight="1" spans="1:6">
      <c r="A1676" s="5" t="s">
        <v>135</v>
      </c>
      <c r="B1676" s="7" t="s">
        <v>849</v>
      </c>
      <c r="C1676" s="231">
        <f>C1581</f>
        <v>0.09</v>
      </c>
      <c r="D1676" s="34"/>
      <c r="E1676" s="34">
        <f>F1667+F1666+F1665+F1637</f>
        <v>47064.1356449046</v>
      </c>
      <c r="F1676" s="34">
        <f>E1676*C1676</f>
        <v>4235.77220804141</v>
      </c>
    </row>
    <row r="1677" ht="15" customHeight="1" spans="1:6">
      <c r="A1677" s="5"/>
      <c r="B1677" s="7" t="s">
        <v>850</v>
      </c>
      <c r="C1677" s="231"/>
      <c r="D1677" s="34"/>
      <c r="E1677" s="34"/>
      <c r="F1677" s="34">
        <f>(F1637+F1665+F1666+F1667+F1676)*取费表!H4</f>
        <v>1538.99723558838</v>
      </c>
    </row>
    <row r="1678" ht="19.5" customHeight="1" spans="1:6">
      <c r="A1678" s="7"/>
      <c r="B1678" s="7" t="s">
        <v>156</v>
      </c>
      <c r="C1678" s="7"/>
      <c r="D1678" s="34"/>
      <c r="E1678" s="34"/>
      <c r="F1678" s="34">
        <f>F1676+E1676+F1677</f>
        <v>52838.9050885343</v>
      </c>
    </row>
    <row r="1679" ht="14.45" customHeight="1" spans="1:12">
      <c r="A1679" s="236" t="s">
        <v>828</v>
      </c>
      <c r="B1679" s="236"/>
      <c r="C1679" s="236"/>
      <c r="D1679" s="236"/>
      <c r="E1679" s="236"/>
      <c r="F1679" s="236"/>
      <c r="G1679" s="236" t="s">
        <v>828</v>
      </c>
      <c r="H1679" s="236"/>
      <c r="I1679" s="236"/>
      <c r="J1679" s="236"/>
      <c r="K1679" s="236"/>
      <c r="L1679" s="236"/>
    </row>
    <row r="1680" ht="14.45" customHeight="1" spans="1:12">
      <c r="A1680" s="278" t="s">
        <v>1049</v>
      </c>
      <c r="B1680" s="272"/>
      <c r="C1680" s="272"/>
      <c r="D1680" s="272"/>
      <c r="E1680" s="272"/>
      <c r="F1680" s="272"/>
      <c r="G1680" s="278" t="s">
        <v>1050</v>
      </c>
      <c r="H1680" s="272"/>
      <c r="I1680" s="272"/>
      <c r="J1680" s="272"/>
      <c r="K1680" s="272"/>
      <c r="L1680" s="272"/>
    </row>
    <row r="1681" ht="14.45" customHeight="1" spans="1:12">
      <c r="A1681" s="228" t="s">
        <v>1046</v>
      </c>
      <c r="B1681" s="228"/>
      <c r="C1681" s="229"/>
      <c r="D1681" s="229"/>
      <c r="E1681" s="228" t="s">
        <v>832</v>
      </c>
      <c r="F1681" s="228"/>
      <c r="G1681" s="228" t="s">
        <v>1046</v>
      </c>
      <c r="H1681" s="228"/>
      <c r="I1681" s="229"/>
      <c r="J1681" s="229"/>
      <c r="K1681" s="228" t="s">
        <v>832</v>
      </c>
      <c r="L1681" s="228"/>
    </row>
    <row r="1682" ht="14.45" customHeight="1" spans="1:12">
      <c r="A1682" s="146" t="s">
        <v>1047</v>
      </c>
      <c r="B1682" s="233"/>
      <c r="C1682" s="233"/>
      <c r="D1682" s="233"/>
      <c r="E1682" s="233"/>
      <c r="F1682" s="147"/>
      <c r="G1682" s="146" t="s">
        <v>1047</v>
      </c>
      <c r="H1682" s="233"/>
      <c r="I1682" s="233"/>
      <c r="J1682" s="233"/>
      <c r="K1682" s="233"/>
      <c r="L1682" s="147"/>
    </row>
    <row r="1683" ht="14.45" customHeight="1" spans="1:12">
      <c r="A1683" s="7" t="s">
        <v>104</v>
      </c>
      <c r="B1683" s="7" t="s">
        <v>835</v>
      </c>
      <c r="C1683" s="7" t="s">
        <v>159</v>
      </c>
      <c r="D1683" s="7" t="s">
        <v>422</v>
      </c>
      <c r="E1683" s="7" t="s">
        <v>160</v>
      </c>
      <c r="F1683" s="7" t="s">
        <v>18</v>
      </c>
      <c r="G1683" s="7" t="s">
        <v>104</v>
      </c>
      <c r="H1683" s="7" t="s">
        <v>835</v>
      </c>
      <c r="I1683" s="7" t="s">
        <v>159</v>
      </c>
      <c r="J1683" s="7" t="s">
        <v>422</v>
      </c>
      <c r="K1683" s="7" t="s">
        <v>160</v>
      </c>
      <c r="L1683" s="7" t="s">
        <v>18</v>
      </c>
    </row>
    <row r="1684" ht="14.45" customHeight="1" spans="1:12">
      <c r="A1684" s="7" t="s">
        <v>836</v>
      </c>
      <c r="B1684" s="7" t="s">
        <v>837</v>
      </c>
      <c r="C1684" s="7"/>
      <c r="D1684" s="7"/>
      <c r="E1684" s="279"/>
      <c r="F1684" s="34">
        <f>F1685+F1710+F1711</f>
        <v>35622.1210589603</v>
      </c>
      <c r="G1684" s="7" t="s">
        <v>836</v>
      </c>
      <c r="H1684" s="7" t="s">
        <v>837</v>
      </c>
      <c r="I1684" s="7"/>
      <c r="J1684" s="7"/>
      <c r="K1684" s="279"/>
      <c r="L1684" s="34">
        <f>L1685+L1710+L1711</f>
        <v>35622.1210589603</v>
      </c>
    </row>
    <row r="1685" ht="14.45" customHeight="1" spans="1:12">
      <c r="A1685" s="7" t="s">
        <v>539</v>
      </c>
      <c r="B1685" s="7" t="s">
        <v>838</v>
      </c>
      <c r="C1685" s="7"/>
      <c r="D1685" s="7"/>
      <c r="E1685" s="279"/>
      <c r="F1685" s="34">
        <f>F1686+F1689+F1699+F1707</f>
        <v>33990.5735295423</v>
      </c>
      <c r="G1685" s="7" t="s">
        <v>539</v>
      </c>
      <c r="H1685" s="7" t="s">
        <v>838</v>
      </c>
      <c r="I1685" s="7"/>
      <c r="J1685" s="7"/>
      <c r="K1685" s="279"/>
      <c r="L1685" s="34">
        <f>L1686+L1689+L1699+L1707</f>
        <v>33990.5735295423</v>
      </c>
    </row>
    <row r="1686" ht="14.45" customHeight="1" spans="1:12">
      <c r="A1686" s="7">
        <v>1</v>
      </c>
      <c r="B1686" s="7" t="s">
        <v>839</v>
      </c>
      <c r="C1686" s="7" t="s">
        <v>840</v>
      </c>
      <c r="D1686" s="34"/>
      <c r="E1686" s="280">
        <f>SUM(E1687:E1688)</f>
        <v>1486.1</v>
      </c>
      <c r="F1686" s="69">
        <f>SUM(F1687:F1688)</f>
        <v>10790.86</v>
      </c>
      <c r="G1686" s="7">
        <v>1</v>
      </c>
      <c r="H1686" s="7" t="s">
        <v>839</v>
      </c>
      <c r="I1686" s="7" t="s">
        <v>840</v>
      </c>
      <c r="J1686" s="34"/>
      <c r="K1686" s="280">
        <f>SUM(K1687:K1688)</f>
        <v>1486.1</v>
      </c>
      <c r="L1686" s="69">
        <f>SUM(L1687:L1688)</f>
        <v>10790.86</v>
      </c>
    </row>
    <row r="1687" s="217" customFormat="1" ht="14.45" customHeight="1" spans="1:12">
      <c r="A1687" s="7"/>
      <c r="B1687" s="7" t="s">
        <v>841</v>
      </c>
      <c r="C1687" s="7" t="s">
        <v>840</v>
      </c>
      <c r="D1687" s="69">
        <f>D1640</f>
        <v>8.1</v>
      </c>
      <c r="E1687" s="281">
        <v>951.1</v>
      </c>
      <c r="F1687" s="69">
        <f>D1687*E1687</f>
        <v>7703.91</v>
      </c>
      <c r="G1687" s="7"/>
      <c r="H1687" s="7" t="s">
        <v>841</v>
      </c>
      <c r="I1687" s="7" t="s">
        <v>840</v>
      </c>
      <c r="J1687" s="69">
        <f>D1687</f>
        <v>8.1</v>
      </c>
      <c r="K1687" s="281">
        <v>951.1</v>
      </c>
      <c r="L1687" s="69">
        <f>J1687*K1687</f>
        <v>7703.91</v>
      </c>
    </row>
    <row r="1688" s="217" customFormat="1" ht="14.45" customHeight="1" spans="1:12">
      <c r="A1688" s="7"/>
      <c r="B1688" s="7" t="s">
        <v>842</v>
      </c>
      <c r="C1688" s="7" t="s">
        <v>840</v>
      </c>
      <c r="D1688" s="69">
        <f>D1641</f>
        <v>5.77</v>
      </c>
      <c r="E1688" s="281">
        <v>535</v>
      </c>
      <c r="F1688" s="69">
        <f>D1688*E1688</f>
        <v>3086.95</v>
      </c>
      <c r="G1688" s="7"/>
      <c r="H1688" s="7" t="s">
        <v>842</v>
      </c>
      <c r="I1688" s="7" t="s">
        <v>840</v>
      </c>
      <c r="J1688" s="69">
        <f>D1688</f>
        <v>5.77</v>
      </c>
      <c r="K1688" s="281">
        <v>535</v>
      </c>
      <c r="L1688" s="69">
        <f>J1688*K1688</f>
        <v>3086.95</v>
      </c>
    </row>
    <row r="1689" ht="14.45" customHeight="1" spans="1:12">
      <c r="A1689" s="7">
        <v>2</v>
      </c>
      <c r="B1689" s="7" t="s">
        <v>912</v>
      </c>
      <c r="C1689" s="7"/>
      <c r="D1689" s="34"/>
      <c r="E1689" s="34"/>
      <c r="F1689" s="34">
        <f>SUM(F1690:F1698)</f>
        <v>20440.0047544425</v>
      </c>
      <c r="G1689" s="7">
        <v>2</v>
      </c>
      <c r="H1689" s="7" t="s">
        <v>912</v>
      </c>
      <c r="I1689" s="7"/>
      <c r="J1689" s="34"/>
      <c r="K1689" s="34"/>
      <c r="L1689" s="34">
        <f>SUM(L1690:L1698)</f>
        <v>20440.0047544425</v>
      </c>
    </row>
    <row r="1690" ht="14.45" customHeight="1" spans="1:12">
      <c r="A1690" s="7"/>
      <c r="B1690" s="273" t="s">
        <v>996</v>
      </c>
      <c r="C1690" s="273" t="s">
        <v>169</v>
      </c>
      <c r="D1690" s="34">
        <f t="shared" ref="D1690:D1695" si="110">D1643</f>
        <v>2238.008025</v>
      </c>
      <c r="E1690" s="34">
        <v>0.4</v>
      </c>
      <c r="F1690" s="34">
        <f t="shared" ref="F1690:F1697" si="111">D1690*E1690</f>
        <v>895.20321</v>
      </c>
      <c r="G1690" s="7"/>
      <c r="H1690" s="273" t="s">
        <v>996</v>
      </c>
      <c r="I1690" s="273" t="s">
        <v>169</v>
      </c>
      <c r="J1690" s="34">
        <f t="shared" ref="J1690:J1697" si="112">D1690</f>
        <v>2238.008025</v>
      </c>
      <c r="K1690" s="34">
        <v>0.4</v>
      </c>
      <c r="L1690" s="34">
        <f t="shared" ref="L1690:L1697" si="113">J1690*K1690</f>
        <v>895.20321</v>
      </c>
    </row>
    <row r="1691" ht="14.45" customHeight="1" spans="1:12">
      <c r="A1691" s="7"/>
      <c r="B1691" s="273" t="s">
        <v>997</v>
      </c>
      <c r="C1691" s="273" t="s">
        <v>863</v>
      </c>
      <c r="D1691" s="34">
        <f t="shared" si="110"/>
        <v>4.44</v>
      </c>
      <c r="E1691" s="34">
        <v>52.08</v>
      </c>
      <c r="F1691" s="34">
        <f t="shared" si="111"/>
        <v>231.2352</v>
      </c>
      <c r="G1691" s="7"/>
      <c r="H1691" s="273" t="s">
        <v>997</v>
      </c>
      <c r="I1691" s="273" t="s">
        <v>863</v>
      </c>
      <c r="J1691" s="34">
        <f t="shared" si="112"/>
        <v>4.44</v>
      </c>
      <c r="K1691" s="34">
        <v>52.08</v>
      </c>
      <c r="L1691" s="34">
        <f t="shared" si="113"/>
        <v>231.2352</v>
      </c>
    </row>
    <row r="1692" ht="14.45" customHeight="1" spans="1:12">
      <c r="A1692" s="7"/>
      <c r="B1692" s="273" t="s">
        <v>998</v>
      </c>
      <c r="C1692" s="273" t="s">
        <v>863</v>
      </c>
      <c r="D1692" s="34">
        <f t="shared" si="110"/>
        <v>4.5</v>
      </c>
      <c r="E1692" s="34">
        <v>42.2</v>
      </c>
      <c r="F1692" s="34">
        <f t="shared" si="111"/>
        <v>189.9</v>
      </c>
      <c r="G1692" s="7"/>
      <c r="H1692" s="273" t="s">
        <v>998</v>
      </c>
      <c r="I1692" s="273" t="s">
        <v>863</v>
      </c>
      <c r="J1692" s="34">
        <f t="shared" si="112"/>
        <v>4.5</v>
      </c>
      <c r="K1692" s="34">
        <v>42.2</v>
      </c>
      <c r="L1692" s="34">
        <f t="shared" si="113"/>
        <v>189.9</v>
      </c>
    </row>
    <row r="1693" ht="14.45" customHeight="1" spans="1:12">
      <c r="A1693" s="7"/>
      <c r="B1693" s="273" t="s">
        <v>999</v>
      </c>
      <c r="C1693" s="273" t="s">
        <v>863</v>
      </c>
      <c r="D1693" s="34">
        <f t="shared" si="110"/>
        <v>5.15</v>
      </c>
      <c r="E1693" s="34">
        <v>22.32</v>
      </c>
      <c r="F1693" s="34">
        <f t="shared" si="111"/>
        <v>114.948</v>
      </c>
      <c r="G1693" s="7"/>
      <c r="H1693" s="273" t="s">
        <v>999</v>
      </c>
      <c r="I1693" s="273" t="s">
        <v>863</v>
      </c>
      <c r="J1693" s="34">
        <f t="shared" si="112"/>
        <v>5.15</v>
      </c>
      <c r="K1693" s="34">
        <v>22.32</v>
      </c>
      <c r="L1693" s="34">
        <f t="shared" si="113"/>
        <v>114.948</v>
      </c>
    </row>
    <row r="1694" ht="14.45" customHeight="1" spans="1:12">
      <c r="A1694" s="7"/>
      <c r="B1694" s="273" t="s">
        <v>1000</v>
      </c>
      <c r="C1694" s="273" t="s">
        <v>863</v>
      </c>
      <c r="D1694" s="34">
        <f t="shared" si="110"/>
        <v>4.5</v>
      </c>
      <c r="E1694" s="34">
        <v>67.3</v>
      </c>
      <c r="F1694" s="34">
        <f t="shared" si="111"/>
        <v>302.85</v>
      </c>
      <c r="G1694" s="7"/>
      <c r="H1694" s="273" t="s">
        <v>1000</v>
      </c>
      <c r="I1694" s="273" t="s">
        <v>863</v>
      </c>
      <c r="J1694" s="34">
        <f t="shared" si="112"/>
        <v>4.5</v>
      </c>
      <c r="K1694" s="34">
        <v>67.3</v>
      </c>
      <c r="L1694" s="34">
        <f t="shared" si="113"/>
        <v>302.85</v>
      </c>
    </row>
    <row r="1695" ht="14.45" customHeight="1" spans="1:12">
      <c r="A1695" s="7"/>
      <c r="B1695" s="273" t="s">
        <v>1002</v>
      </c>
      <c r="C1695" s="273" t="s">
        <v>863</v>
      </c>
      <c r="D1695" s="34">
        <f t="shared" si="110"/>
        <v>5.97</v>
      </c>
      <c r="E1695" s="34">
        <v>1.5</v>
      </c>
      <c r="F1695" s="34">
        <f t="shared" si="111"/>
        <v>8.955</v>
      </c>
      <c r="G1695" s="7"/>
      <c r="H1695" s="273" t="s">
        <v>1002</v>
      </c>
      <c r="I1695" s="273" t="s">
        <v>863</v>
      </c>
      <c r="J1695" s="34">
        <f t="shared" si="112"/>
        <v>5.97</v>
      </c>
      <c r="K1695" s="34">
        <v>1.5</v>
      </c>
      <c r="L1695" s="34">
        <f t="shared" si="113"/>
        <v>8.955</v>
      </c>
    </row>
    <row r="1696" ht="14.45" customHeight="1" spans="1:12">
      <c r="A1696" s="7"/>
      <c r="B1696" s="7" t="s">
        <v>1003</v>
      </c>
      <c r="C1696" s="7" t="s">
        <v>169</v>
      </c>
      <c r="D1696" s="34">
        <f>配合比!M8</f>
        <v>176.3536095</v>
      </c>
      <c r="E1696" s="34">
        <v>103</v>
      </c>
      <c r="F1696" s="34">
        <f t="shared" si="111"/>
        <v>18164.4217785</v>
      </c>
      <c r="G1696" s="7"/>
      <c r="H1696" s="7" t="s">
        <v>1003</v>
      </c>
      <c r="I1696" s="7" t="s">
        <v>169</v>
      </c>
      <c r="J1696" s="34">
        <f t="shared" si="112"/>
        <v>176.3536095</v>
      </c>
      <c r="K1696" s="34">
        <v>103</v>
      </c>
      <c r="L1696" s="34">
        <f t="shared" si="113"/>
        <v>18164.4217785</v>
      </c>
    </row>
    <row r="1697" ht="14.45" customHeight="1" spans="1:12">
      <c r="A1697" s="7"/>
      <c r="B1697" s="7" t="s">
        <v>913</v>
      </c>
      <c r="C1697" s="7" t="s">
        <v>169</v>
      </c>
      <c r="D1697" s="34">
        <f>材料预算价!K13</f>
        <v>3.59</v>
      </c>
      <c r="E1697" s="34">
        <v>120</v>
      </c>
      <c r="F1697" s="34">
        <f t="shared" si="111"/>
        <v>430.8</v>
      </c>
      <c r="G1697" s="7"/>
      <c r="H1697" s="7" t="s">
        <v>913</v>
      </c>
      <c r="I1697" s="7" t="s">
        <v>169</v>
      </c>
      <c r="J1697" s="34">
        <f t="shared" si="112"/>
        <v>3.59</v>
      </c>
      <c r="K1697" s="34">
        <v>120</v>
      </c>
      <c r="L1697" s="34">
        <f t="shared" si="113"/>
        <v>430.8</v>
      </c>
    </row>
    <row r="1698" ht="14.45" customHeight="1" spans="1:12">
      <c r="A1698" s="7"/>
      <c r="B1698" s="7" t="s">
        <v>1004</v>
      </c>
      <c r="C1698" s="9" t="s">
        <v>845</v>
      </c>
      <c r="D1698" s="34">
        <f>F1690+F1691+F1692+F1693+F1694+F1695+F1696++F1697</f>
        <v>20338.3131885</v>
      </c>
      <c r="E1698" s="34">
        <v>0.5</v>
      </c>
      <c r="F1698" s="34">
        <f>D1698*E1698/100</f>
        <v>101.6915659425</v>
      </c>
      <c r="G1698" s="7"/>
      <c r="H1698" s="7" t="s">
        <v>1004</v>
      </c>
      <c r="I1698" s="9" t="s">
        <v>845</v>
      </c>
      <c r="J1698" s="34">
        <f>L1690+L1691+L1692+L1693+L1694+L1695+L1696++L1697</f>
        <v>20338.3131885</v>
      </c>
      <c r="K1698" s="34">
        <v>0.5</v>
      </c>
      <c r="L1698" s="34">
        <f>J1698*K1698/100</f>
        <v>101.6915659425</v>
      </c>
    </row>
    <row r="1699" ht="14.45" customHeight="1" spans="1:12">
      <c r="A1699" s="7">
        <v>3</v>
      </c>
      <c r="B1699" s="7" t="s">
        <v>859</v>
      </c>
      <c r="C1699" s="7"/>
      <c r="D1699" s="34"/>
      <c r="E1699" s="34"/>
      <c r="F1699" s="34">
        <f>SUM(F1700:F1706)</f>
        <v>768.052583711667</v>
      </c>
      <c r="G1699" s="7">
        <v>3</v>
      </c>
      <c r="H1699" s="7" t="s">
        <v>859</v>
      </c>
      <c r="I1699" s="7"/>
      <c r="J1699" s="34"/>
      <c r="K1699" s="34"/>
      <c r="L1699" s="34">
        <f>SUM(L1700:L1706)</f>
        <v>768.052583711667</v>
      </c>
    </row>
    <row r="1700" ht="14.45" customHeight="1" spans="1:12">
      <c r="A1700" s="7"/>
      <c r="B1700" s="7" t="s">
        <v>1005</v>
      </c>
      <c r="C1700" s="7" t="s">
        <v>428</v>
      </c>
      <c r="D1700" s="34">
        <f t="shared" ref="D1700:D1705" si="114">D1653</f>
        <v>49.389824491424</v>
      </c>
      <c r="E1700" s="34">
        <v>1.5012</v>
      </c>
      <c r="F1700" s="34">
        <f t="shared" ref="F1700:F1705" si="115">D1700*E1700</f>
        <v>74.1440045265257</v>
      </c>
      <c r="G1700" s="7"/>
      <c r="H1700" s="7" t="s">
        <v>1005</v>
      </c>
      <c r="I1700" s="7" t="s">
        <v>428</v>
      </c>
      <c r="J1700" s="34">
        <f t="shared" ref="J1700:J1705" si="116">D1700</f>
        <v>49.389824491424</v>
      </c>
      <c r="K1700" s="34">
        <v>1.5012</v>
      </c>
      <c r="L1700" s="34">
        <f t="shared" ref="L1700:L1705" si="117">J1700*K1700</f>
        <v>74.1440045265257</v>
      </c>
    </row>
    <row r="1701" ht="14.45" customHeight="1" spans="1:12">
      <c r="A1701" s="7"/>
      <c r="B1701" s="7" t="s">
        <v>1006</v>
      </c>
      <c r="C1701" s="7" t="s">
        <v>428</v>
      </c>
      <c r="D1701" s="34">
        <f t="shared" si="114"/>
        <v>62.3342780215397</v>
      </c>
      <c r="E1701" s="34">
        <v>0.35</v>
      </c>
      <c r="F1701" s="34">
        <f t="shared" si="115"/>
        <v>21.8169973075389</v>
      </c>
      <c r="G1701" s="7"/>
      <c r="H1701" s="7" t="s">
        <v>1006</v>
      </c>
      <c r="I1701" s="7" t="s">
        <v>428</v>
      </c>
      <c r="J1701" s="34">
        <f t="shared" si="116"/>
        <v>62.3342780215397</v>
      </c>
      <c r="K1701" s="34">
        <v>0.35</v>
      </c>
      <c r="L1701" s="34">
        <f t="shared" si="117"/>
        <v>21.8169973075389</v>
      </c>
    </row>
    <row r="1702" ht="14.45" customHeight="1" spans="1:12">
      <c r="A1702" s="7"/>
      <c r="B1702" s="7" t="s">
        <v>1007</v>
      </c>
      <c r="C1702" s="7" t="s">
        <v>428</v>
      </c>
      <c r="D1702" s="34">
        <f t="shared" si="114"/>
        <v>8.3371858795373</v>
      </c>
      <c r="E1702" s="251">
        <v>3.3534</v>
      </c>
      <c r="F1702" s="34">
        <f t="shared" si="115"/>
        <v>27.9579191284404</v>
      </c>
      <c r="G1702" s="7"/>
      <c r="H1702" s="7" t="s">
        <v>1007</v>
      </c>
      <c r="I1702" s="7" t="s">
        <v>428</v>
      </c>
      <c r="J1702" s="34">
        <f t="shared" si="116"/>
        <v>8.3371858795373</v>
      </c>
      <c r="K1702" s="251">
        <v>3.3534</v>
      </c>
      <c r="L1702" s="34">
        <f t="shared" si="117"/>
        <v>27.9579191284404</v>
      </c>
    </row>
    <row r="1703" ht="14.45" customHeight="1" spans="1:12">
      <c r="A1703" s="7"/>
      <c r="B1703" s="7" t="s">
        <v>1008</v>
      </c>
      <c r="C1703" s="7" t="s">
        <v>428</v>
      </c>
      <c r="D1703" s="34">
        <f t="shared" si="114"/>
        <v>23.9179521340247</v>
      </c>
      <c r="E1703" s="34">
        <v>18.54</v>
      </c>
      <c r="F1703" s="34">
        <f t="shared" si="115"/>
        <v>443.438832564818</v>
      </c>
      <c r="G1703" s="7"/>
      <c r="H1703" s="7" t="s">
        <v>1008</v>
      </c>
      <c r="I1703" s="7" t="s">
        <v>428</v>
      </c>
      <c r="J1703" s="34">
        <f t="shared" si="116"/>
        <v>23.9179521340247</v>
      </c>
      <c r="K1703" s="34">
        <v>18.54</v>
      </c>
      <c r="L1703" s="34">
        <f t="shared" si="117"/>
        <v>443.438832564818</v>
      </c>
    </row>
    <row r="1704" ht="14.45" customHeight="1" spans="1:12">
      <c r="A1704" s="7"/>
      <c r="B1704" s="7" t="s">
        <v>1021</v>
      </c>
      <c r="C1704" s="7" t="s">
        <v>428</v>
      </c>
      <c r="D1704" s="34">
        <f t="shared" si="114"/>
        <v>2.41252772237734</v>
      </c>
      <c r="E1704" s="254">
        <v>40.05</v>
      </c>
      <c r="F1704" s="34">
        <f t="shared" si="115"/>
        <v>96.6217352812126</v>
      </c>
      <c r="G1704" s="7"/>
      <c r="H1704" s="7" t="s">
        <v>1021</v>
      </c>
      <c r="I1704" s="7" t="s">
        <v>428</v>
      </c>
      <c r="J1704" s="34">
        <f t="shared" si="116"/>
        <v>2.41252772237734</v>
      </c>
      <c r="K1704" s="254">
        <v>40.05</v>
      </c>
      <c r="L1704" s="34">
        <f t="shared" si="117"/>
        <v>96.6217352812126</v>
      </c>
    </row>
    <row r="1705" ht="14.45" customHeight="1" spans="1:12">
      <c r="A1705" s="7"/>
      <c r="B1705" s="7" t="s">
        <v>967</v>
      </c>
      <c r="C1705" s="7" t="s">
        <v>428</v>
      </c>
      <c r="D1705" s="34">
        <f t="shared" si="114"/>
        <v>0.813242919824491</v>
      </c>
      <c r="E1705" s="34">
        <v>83</v>
      </c>
      <c r="F1705" s="34">
        <f t="shared" si="115"/>
        <v>67.4991623454328</v>
      </c>
      <c r="G1705" s="7"/>
      <c r="H1705" s="7" t="s">
        <v>967</v>
      </c>
      <c r="I1705" s="7" t="s">
        <v>428</v>
      </c>
      <c r="J1705" s="34">
        <f t="shared" si="116"/>
        <v>0.813242919824491</v>
      </c>
      <c r="K1705" s="34">
        <v>83</v>
      </c>
      <c r="L1705" s="34">
        <f t="shared" si="117"/>
        <v>67.4991623454328</v>
      </c>
    </row>
    <row r="1706" ht="14.45" customHeight="1" spans="1:12">
      <c r="A1706" s="7"/>
      <c r="B1706" s="7" t="s">
        <v>918</v>
      </c>
      <c r="C1706" s="9" t="s">
        <v>845</v>
      </c>
      <c r="D1706" s="34">
        <f>SUM(F1700:F1705)</f>
        <v>731.478651153969</v>
      </c>
      <c r="E1706" s="34">
        <v>5</v>
      </c>
      <c r="F1706" s="34">
        <f>D1706*E1706/100</f>
        <v>36.5739325576984</v>
      </c>
      <c r="G1706" s="7"/>
      <c r="H1706" s="7" t="s">
        <v>918</v>
      </c>
      <c r="I1706" s="9" t="s">
        <v>845</v>
      </c>
      <c r="J1706" s="34">
        <f>SUM(L1700:L1705)</f>
        <v>731.478651153969</v>
      </c>
      <c r="K1706" s="34">
        <v>5</v>
      </c>
      <c r="L1706" s="34">
        <f>J1706*K1706/100</f>
        <v>36.5739325576984</v>
      </c>
    </row>
    <row r="1707" s="219" customFormat="1" ht="14.45" customHeight="1" spans="1:12">
      <c r="A1707" s="5">
        <v>4</v>
      </c>
      <c r="B1707" s="5" t="s">
        <v>1010</v>
      </c>
      <c r="C1707" s="275"/>
      <c r="D1707" s="276"/>
      <c r="E1707" s="276"/>
      <c r="F1707" s="276">
        <f>SUM(F1708:F1709)</f>
        <v>1991.65619138815</v>
      </c>
      <c r="G1707" s="5">
        <v>4</v>
      </c>
      <c r="H1707" s="5" t="s">
        <v>1010</v>
      </c>
      <c r="I1707" s="275"/>
      <c r="J1707" s="276"/>
      <c r="K1707" s="276"/>
      <c r="L1707" s="276">
        <f>SUM(L1708:L1709)</f>
        <v>1991.65619138815</v>
      </c>
    </row>
    <row r="1708" s="216" customFormat="1" ht="14.45" customHeight="1" spans="1:12">
      <c r="A1708" s="7"/>
      <c r="B1708" s="123" t="s">
        <v>681</v>
      </c>
      <c r="C1708" s="123" t="s">
        <v>169</v>
      </c>
      <c r="D1708" s="274">
        <f>$F$2795/100</f>
        <v>5.03319379720782</v>
      </c>
      <c r="E1708" s="274">
        <v>103</v>
      </c>
      <c r="F1708" s="34">
        <f>D1708*E1708</f>
        <v>518.418961112405</v>
      </c>
      <c r="G1708" s="7"/>
      <c r="H1708" s="123" t="s">
        <v>681</v>
      </c>
      <c r="I1708" s="123" t="s">
        <v>169</v>
      </c>
      <c r="J1708" s="274">
        <f>$F$2795/100</f>
        <v>5.03319379720782</v>
      </c>
      <c r="K1708" s="274">
        <v>103</v>
      </c>
      <c r="L1708" s="34">
        <f>J1708*K1708</f>
        <v>518.418961112405</v>
      </c>
    </row>
    <row r="1709" s="216" customFormat="1" ht="14.45" customHeight="1" spans="1:12">
      <c r="A1709" s="7"/>
      <c r="B1709" s="123" t="s">
        <v>682</v>
      </c>
      <c r="C1709" s="123" t="s">
        <v>169</v>
      </c>
      <c r="D1709" s="274">
        <f>$F$2813/100</f>
        <v>14.303274080347</v>
      </c>
      <c r="E1709" s="274">
        <v>103</v>
      </c>
      <c r="F1709" s="34">
        <f>D1709*E1709</f>
        <v>1473.23723027574</v>
      </c>
      <c r="G1709" s="7"/>
      <c r="H1709" s="123" t="s">
        <v>682</v>
      </c>
      <c r="I1709" s="123" t="s">
        <v>169</v>
      </c>
      <c r="J1709" s="274">
        <f>$F$2813/100</f>
        <v>14.303274080347</v>
      </c>
      <c r="K1709" s="274">
        <v>103</v>
      </c>
      <c r="L1709" s="34">
        <f>J1709*K1709</f>
        <v>1473.23723027574</v>
      </c>
    </row>
    <row r="1710" s="216" customFormat="1" ht="14.45" customHeight="1" spans="1:12">
      <c r="A1710" s="7" t="s">
        <v>564</v>
      </c>
      <c r="B1710" s="7" t="s">
        <v>846</v>
      </c>
      <c r="C1710" s="230">
        <f>取费表!$C$7</f>
        <v>0.048</v>
      </c>
      <c r="D1710" s="274"/>
      <c r="E1710" s="274">
        <f>F1685</f>
        <v>33990.5735295423</v>
      </c>
      <c r="F1710" s="34">
        <f>E1710*C1710</f>
        <v>1631.54752941803</v>
      </c>
      <c r="G1710" s="7" t="s">
        <v>564</v>
      </c>
      <c r="H1710" s="7" t="s">
        <v>846</v>
      </c>
      <c r="I1710" s="230">
        <f>取费表!$C$7</f>
        <v>0.048</v>
      </c>
      <c r="J1710" s="274"/>
      <c r="K1710" s="274">
        <f>L1685</f>
        <v>33990.5735295423</v>
      </c>
      <c r="L1710" s="34">
        <f>K1710*I1710</f>
        <v>1631.54752941803</v>
      </c>
    </row>
    <row r="1711" s="216" customFormat="1" ht="14.45" customHeight="1" spans="1:12">
      <c r="A1711" s="7"/>
      <c r="B1711" s="7"/>
      <c r="C1711" s="230"/>
      <c r="D1711" s="274"/>
      <c r="E1711" s="274"/>
      <c r="F1711" s="34"/>
      <c r="G1711" s="7"/>
      <c r="H1711" s="7"/>
      <c r="I1711" s="230"/>
      <c r="J1711" s="274"/>
      <c r="K1711" s="274"/>
      <c r="L1711" s="34"/>
    </row>
    <row r="1712" s="216" customFormat="1" ht="14.45" customHeight="1" spans="1:12">
      <c r="A1712" s="7" t="s">
        <v>439</v>
      </c>
      <c r="B1712" s="7" t="s">
        <v>847</v>
      </c>
      <c r="C1712" s="230">
        <f>取费表!$E$7</f>
        <v>0.07</v>
      </c>
      <c r="D1712" s="274"/>
      <c r="E1712" s="274">
        <f>F1684</f>
        <v>35622.1210589603</v>
      </c>
      <c r="F1712" s="34">
        <f>E1712*C1712</f>
        <v>2493.54847412722</v>
      </c>
      <c r="G1712" s="7" t="s">
        <v>439</v>
      </c>
      <c r="H1712" s="7" t="s">
        <v>847</v>
      </c>
      <c r="I1712" s="230">
        <f>取费表!$E$7</f>
        <v>0.07</v>
      </c>
      <c r="J1712" s="274"/>
      <c r="K1712" s="274">
        <f>L1684</f>
        <v>35622.1210589603</v>
      </c>
      <c r="L1712" s="34">
        <f>K1712*I1712</f>
        <v>2493.54847412722</v>
      </c>
    </row>
    <row r="1713" s="216" customFormat="1" ht="14.45" customHeight="1" spans="1:12">
      <c r="A1713" s="7" t="s">
        <v>83</v>
      </c>
      <c r="B1713" s="7" t="s">
        <v>848</v>
      </c>
      <c r="C1713" s="230">
        <f>取费表!$F$7</f>
        <v>0.07</v>
      </c>
      <c r="D1713" s="274"/>
      <c r="E1713" s="274">
        <f>F1712+F1684</f>
        <v>38115.6695330876</v>
      </c>
      <c r="F1713" s="34">
        <f>E1713*C1713</f>
        <v>2668.09686731613</v>
      </c>
      <c r="G1713" s="7" t="s">
        <v>83</v>
      </c>
      <c r="H1713" s="7" t="s">
        <v>848</v>
      </c>
      <c r="I1713" s="230">
        <f>取费表!$F$7</f>
        <v>0.07</v>
      </c>
      <c r="J1713" s="274"/>
      <c r="K1713" s="274">
        <f>L1712+L1684</f>
        <v>38115.6695330876</v>
      </c>
      <c r="L1713" s="34">
        <f>K1713*I1713</f>
        <v>2668.09686731613</v>
      </c>
    </row>
    <row r="1714" s="220" customFormat="1" ht="14.45" customHeight="1" spans="1:12">
      <c r="A1714" s="5" t="s">
        <v>121</v>
      </c>
      <c r="B1714" s="5" t="s">
        <v>861</v>
      </c>
      <c r="C1714" s="275"/>
      <c r="D1714" s="276"/>
      <c r="E1714" s="5"/>
      <c r="F1714" s="277">
        <f>F1715+F1720</f>
        <v>9027.41711501364</v>
      </c>
      <c r="G1714" s="5" t="s">
        <v>121</v>
      </c>
      <c r="H1714" s="5" t="s">
        <v>861</v>
      </c>
      <c r="I1714" s="275"/>
      <c r="J1714" s="276"/>
      <c r="K1714" s="5"/>
      <c r="L1714" s="277">
        <f>L1715+L1720</f>
        <v>12939.8659112927</v>
      </c>
    </row>
    <row r="1715" ht="14.45" customHeight="1" spans="1:12">
      <c r="A1715" s="7">
        <v>1</v>
      </c>
      <c r="B1715" s="7" t="s">
        <v>1011</v>
      </c>
      <c r="C1715" s="9"/>
      <c r="D1715" s="34"/>
      <c r="E1715" s="7"/>
      <c r="F1715" s="69">
        <f>SUM(F1716:F1719)</f>
        <v>8951.34817301364</v>
      </c>
      <c r="G1715" s="7">
        <v>1</v>
      </c>
      <c r="H1715" s="7" t="s">
        <v>1011</v>
      </c>
      <c r="I1715" s="9"/>
      <c r="J1715" s="34"/>
      <c r="K1715" s="7"/>
      <c r="L1715" s="69">
        <f>SUM(L1716:L1719)</f>
        <v>12863.7969692927</v>
      </c>
    </row>
    <row r="1716" ht="14.45" customHeight="1" spans="1:12">
      <c r="A1716" s="7"/>
      <c r="B1716" s="7"/>
      <c r="C1716" s="7"/>
      <c r="D1716" s="34"/>
      <c r="E1716" s="34"/>
      <c r="F1716" s="69"/>
      <c r="G1716" s="7"/>
      <c r="H1716" s="7"/>
      <c r="I1716" s="7"/>
      <c r="J1716" s="34"/>
      <c r="K1716" s="34"/>
      <c r="L1716" s="69"/>
    </row>
    <row r="1717" ht="14.45" customHeight="1" spans="1:12">
      <c r="A1717" s="7"/>
      <c r="B1717" s="7" t="s">
        <v>979</v>
      </c>
      <c r="C1717" s="7" t="s">
        <v>200</v>
      </c>
      <c r="D1717" s="34">
        <f>材料预算价!K5-材料预算价!L5</f>
        <v>141.58936</v>
      </c>
      <c r="E1717" s="34">
        <f>E1696*配合比!E8</f>
        <v>31.641291</v>
      </c>
      <c r="F1717" s="69">
        <f>D1717*E1717</f>
        <v>4480.07014226376</v>
      </c>
      <c r="G1717" s="7"/>
      <c r="H1717" s="7" t="s">
        <v>983</v>
      </c>
      <c r="I1717" s="7" t="s">
        <v>200</v>
      </c>
      <c r="J1717" s="34">
        <f>材料预算价!K6-材料预算价!L6</f>
        <v>265.23946</v>
      </c>
      <c r="K1717" s="34">
        <f>E1717</f>
        <v>31.641291</v>
      </c>
      <c r="L1717" s="69">
        <f>J1717*K1717</f>
        <v>8392.51893854286</v>
      </c>
    </row>
    <row r="1718" ht="14.45" customHeight="1" spans="1:12">
      <c r="A1718" s="7"/>
      <c r="B1718" s="7" t="s">
        <v>961</v>
      </c>
      <c r="C1718" s="7" t="s">
        <v>169</v>
      </c>
      <c r="D1718" s="34">
        <f>D1671</f>
        <v>34.366056</v>
      </c>
      <c r="E1718" s="34">
        <f>E1696*配合比!G8</f>
        <v>56.62734</v>
      </c>
      <c r="F1718" s="69">
        <f>D1718*E1718</f>
        <v>1946.05833757104</v>
      </c>
      <c r="G1718" s="7"/>
      <c r="H1718" s="7" t="s">
        <v>961</v>
      </c>
      <c r="I1718" s="7" t="s">
        <v>169</v>
      </c>
      <c r="J1718" s="34">
        <f>D1718</f>
        <v>34.366056</v>
      </c>
      <c r="K1718" s="34">
        <f>E1718</f>
        <v>56.62734</v>
      </c>
      <c r="L1718" s="69">
        <f>J1718*K1718</f>
        <v>1946.05833757104</v>
      </c>
    </row>
    <row r="1719" ht="14.45" customHeight="1" spans="1:12">
      <c r="A1719" s="7"/>
      <c r="B1719" s="7" t="s">
        <v>1012</v>
      </c>
      <c r="C1719" s="7" t="s">
        <v>169</v>
      </c>
      <c r="D1719" s="34">
        <f>材料预算价!K8-材料预算价!L8</f>
        <v>29.13701</v>
      </c>
      <c r="E1719" s="34">
        <f>E1696*配合比!I8</f>
        <v>86.667084</v>
      </c>
      <c r="F1719" s="69">
        <f>D1719*E1719</f>
        <v>2525.21969317884</v>
      </c>
      <c r="G1719" s="7"/>
      <c r="H1719" s="7" t="s">
        <v>1012</v>
      </c>
      <c r="I1719" s="7" t="s">
        <v>169</v>
      </c>
      <c r="J1719" s="34">
        <f>D1719</f>
        <v>29.13701</v>
      </c>
      <c r="K1719" s="34">
        <f>E1719</f>
        <v>86.667084</v>
      </c>
      <c r="L1719" s="69">
        <f>J1719*K1719</f>
        <v>2525.21969317884</v>
      </c>
    </row>
    <row r="1720" ht="14.45" customHeight="1" spans="1:12">
      <c r="A1720" s="7">
        <v>2</v>
      </c>
      <c r="B1720" s="7" t="s">
        <v>1013</v>
      </c>
      <c r="C1720" s="7"/>
      <c r="D1720" s="34"/>
      <c r="E1720" s="38"/>
      <c r="F1720" s="69">
        <f>SUM(F1721:F1722)</f>
        <v>76.068942</v>
      </c>
      <c r="G1720" s="7">
        <v>2</v>
      </c>
      <c r="H1720" s="7" t="s">
        <v>1013</v>
      </c>
      <c r="I1720" s="7"/>
      <c r="J1720" s="34"/>
      <c r="K1720" s="38"/>
      <c r="L1720" s="69">
        <f>SUM(L1721:L1722)</f>
        <v>76.068942</v>
      </c>
    </row>
    <row r="1721" ht="14.45" customHeight="1" spans="1:12">
      <c r="A1721" s="7"/>
      <c r="B1721" s="7" t="s">
        <v>1014</v>
      </c>
      <c r="C1721" s="7" t="s">
        <v>863</v>
      </c>
      <c r="D1721" s="34">
        <f>材料预算价!K12-材料预算价!L12</f>
        <v>5.925</v>
      </c>
      <c r="E1721" s="38">
        <f>(E1700*7.2+E1701*5.8)</f>
        <v>12.83864</v>
      </c>
      <c r="F1721" s="69">
        <f>D1721*E1721</f>
        <v>76.068942</v>
      </c>
      <c r="G1721" s="7"/>
      <c r="H1721" s="7" t="s">
        <v>1014</v>
      </c>
      <c r="I1721" s="7" t="s">
        <v>863</v>
      </c>
      <c r="J1721" s="34">
        <f>D1721</f>
        <v>5.925</v>
      </c>
      <c r="K1721" s="38">
        <f>(K1700*7.2+K1701*5.8)</f>
        <v>12.83864</v>
      </c>
      <c r="L1721" s="69">
        <f>J1721*K1721</f>
        <v>76.068942</v>
      </c>
    </row>
    <row r="1722" ht="14.45" customHeight="1" spans="1:12">
      <c r="A1722" s="7"/>
      <c r="B1722" s="7" t="s">
        <v>862</v>
      </c>
      <c r="C1722" s="7" t="s">
        <v>863</v>
      </c>
      <c r="D1722" s="34">
        <f>材料预算价!K11-材料预算价!L11</f>
        <v>4.58</v>
      </c>
      <c r="E1722" s="38"/>
      <c r="F1722" s="69">
        <f>D1722*E1722</f>
        <v>0</v>
      </c>
      <c r="G1722" s="7"/>
      <c r="H1722" s="7" t="s">
        <v>862</v>
      </c>
      <c r="I1722" s="7" t="s">
        <v>863</v>
      </c>
      <c r="J1722" s="34">
        <f>D1722</f>
        <v>4.58</v>
      </c>
      <c r="K1722" s="38"/>
      <c r="L1722" s="69">
        <f>J1722*K1722</f>
        <v>0</v>
      </c>
    </row>
    <row r="1723" ht="14.45" customHeight="1" spans="1:12">
      <c r="A1723" s="7" t="s">
        <v>135</v>
      </c>
      <c r="B1723" s="7" t="s">
        <v>849</v>
      </c>
      <c r="C1723" s="231">
        <f>C1676</f>
        <v>0.09</v>
      </c>
      <c r="D1723" s="34"/>
      <c r="E1723" s="34">
        <f>F1714+F1713+F1712+F1684</f>
        <v>49811.1835154173</v>
      </c>
      <c r="F1723" s="34">
        <f>E1723*C1723</f>
        <v>4483.00651638756</v>
      </c>
      <c r="G1723" s="7" t="s">
        <v>135</v>
      </c>
      <c r="H1723" s="7" t="s">
        <v>849</v>
      </c>
      <c r="I1723" s="231">
        <f>C1723</f>
        <v>0.09</v>
      </c>
      <c r="J1723" s="34"/>
      <c r="K1723" s="34">
        <f>L1714+L1713+L1712+L1684</f>
        <v>53723.6323116963</v>
      </c>
      <c r="L1723" s="34">
        <f>K1723*I1723</f>
        <v>4835.12690805267</v>
      </c>
    </row>
    <row r="1724" ht="16.5" customHeight="1" spans="1:12">
      <c r="A1724" s="7"/>
      <c r="B1724" s="7" t="s">
        <v>850</v>
      </c>
      <c r="C1724" s="231"/>
      <c r="D1724" s="34"/>
      <c r="E1724" s="34"/>
      <c r="F1724" s="34">
        <f>(F1684+F1712+F1713+F1714+F1723)*取费表!H4</f>
        <v>1628.82570095415</v>
      </c>
      <c r="G1724" s="7"/>
      <c r="H1724" s="7" t="s">
        <v>850</v>
      </c>
      <c r="I1724" s="231"/>
      <c r="J1724" s="34"/>
      <c r="K1724" s="34"/>
      <c r="L1724" s="34">
        <f>(L1684+L1712+L1713+L1714+L1723)*取费表!H7</f>
        <v>1756.76277659247</v>
      </c>
    </row>
    <row r="1725" ht="18.75" customHeight="1" spans="1:12">
      <c r="A1725" s="7"/>
      <c r="B1725" s="7" t="s">
        <v>156</v>
      </c>
      <c r="C1725" s="7"/>
      <c r="D1725" s="34"/>
      <c r="E1725" s="34"/>
      <c r="F1725" s="34">
        <f>F1723+E1723+F1724</f>
        <v>55923.015732759</v>
      </c>
      <c r="G1725" s="7"/>
      <c r="H1725" s="7" t="s">
        <v>156</v>
      </c>
      <c r="I1725" s="7"/>
      <c r="J1725" s="34"/>
      <c r="K1725" s="34"/>
      <c r="L1725" s="34">
        <f>L1723+K1723+L1724</f>
        <v>60315.5219963415</v>
      </c>
    </row>
    <row r="1726" ht="14.85" customHeight="1" spans="1:6">
      <c r="A1726" s="236" t="s">
        <v>828</v>
      </c>
      <c r="B1726" s="236"/>
      <c r="C1726" s="236"/>
      <c r="D1726" s="236"/>
      <c r="E1726" s="236"/>
      <c r="F1726" s="236"/>
    </row>
    <row r="1727" ht="14.85" customHeight="1" spans="1:6">
      <c r="A1727" s="278" t="s">
        <v>1051</v>
      </c>
      <c r="B1727" s="272"/>
      <c r="C1727" s="272"/>
      <c r="D1727" s="272"/>
      <c r="E1727" s="272"/>
      <c r="F1727" s="272"/>
    </row>
    <row r="1728" ht="14.85" customHeight="1" spans="1:6">
      <c r="A1728" s="228" t="s">
        <v>1046</v>
      </c>
      <c r="B1728" s="228"/>
      <c r="C1728" s="229"/>
      <c r="D1728" s="229"/>
      <c r="E1728" s="228" t="s">
        <v>832</v>
      </c>
      <c r="F1728" s="228"/>
    </row>
    <row r="1729" ht="14.85" customHeight="1" spans="1:6">
      <c r="A1729" s="146" t="s">
        <v>1047</v>
      </c>
      <c r="B1729" s="233"/>
      <c r="C1729" s="233"/>
      <c r="D1729" s="233"/>
      <c r="E1729" s="233"/>
      <c r="F1729" s="147"/>
    </row>
    <row r="1730" ht="14.85" customHeight="1" spans="1:6">
      <c r="A1730" s="7" t="s">
        <v>104</v>
      </c>
      <c r="B1730" s="7" t="s">
        <v>835</v>
      </c>
      <c r="C1730" s="7" t="s">
        <v>159</v>
      </c>
      <c r="D1730" s="7" t="s">
        <v>422</v>
      </c>
      <c r="E1730" s="7" t="s">
        <v>160</v>
      </c>
      <c r="F1730" s="7" t="s">
        <v>18</v>
      </c>
    </row>
    <row r="1731" ht="14.85" customHeight="1" spans="1:6">
      <c r="A1731" s="7" t="s">
        <v>836</v>
      </c>
      <c r="B1731" s="7" t="s">
        <v>837</v>
      </c>
      <c r="C1731" s="7"/>
      <c r="D1731" s="7"/>
      <c r="E1731" s="279"/>
      <c r="F1731" s="34">
        <f>F1732+F1757+F1758</f>
        <v>36370.0707451979</v>
      </c>
    </row>
    <row r="1732" ht="14.85" customHeight="1" spans="1:6">
      <c r="A1732" s="7" t="s">
        <v>539</v>
      </c>
      <c r="B1732" s="7" t="s">
        <v>838</v>
      </c>
      <c r="C1732" s="7"/>
      <c r="D1732" s="7"/>
      <c r="E1732" s="279"/>
      <c r="F1732" s="247">
        <f>F1733+F1736+F1746+F1754</f>
        <v>34704.2659782423</v>
      </c>
    </row>
    <row r="1733" ht="14.85" customHeight="1" spans="1:6">
      <c r="A1733" s="7">
        <v>1</v>
      </c>
      <c r="B1733" s="7" t="s">
        <v>839</v>
      </c>
      <c r="C1733" s="7" t="s">
        <v>840</v>
      </c>
      <c r="D1733" s="34"/>
      <c r="E1733" s="280">
        <f>SUM(E1734:E1735)</f>
        <v>1486.1</v>
      </c>
      <c r="F1733" s="69">
        <f>SUM(F1734:F1735)</f>
        <v>10790.86</v>
      </c>
    </row>
    <row r="1734" ht="14.85" customHeight="1" spans="1:6">
      <c r="A1734" s="7"/>
      <c r="B1734" s="7" t="s">
        <v>841</v>
      </c>
      <c r="C1734" s="7" t="s">
        <v>840</v>
      </c>
      <c r="D1734" s="69">
        <f>D1687</f>
        <v>8.1</v>
      </c>
      <c r="E1734" s="281">
        <v>951.1</v>
      </c>
      <c r="F1734" s="69">
        <f>D1734*E1734</f>
        <v>7703.91</v>
      </c>
    </row>
    <row r="1735" ht="14.85" customHeight="1" spans="1:6">
      <c r="A1735" s="7"/>
      <c r="B1735" s="7" t="s">
        <v>842</v>
      </c>
      <c r="C1735" s="7" t="s">
        <v>840</v>
      </c>
      <c r="D1735" s="69">
        <f>D1688</f>
        <v>5.77</v>
      </c>
      <c r="E1735" s="281">
        <v>535</v>
      </c>
      <c r="F1735" s="69">
        <f>D1735*E1735</f>
        <v>3086.95</v>
      </c>
    </row>
    <row r="1736" ht="14.85" customHeight="1" spans="1:6">
      <c r="A1736" s="7">
        <v>2</v>
      </c>
      <c r="B1736" s="7" t="s">
        <v>912</v>
      </c>
      <c r="C1736" s="7"/>
      <c r="D1736" s="34"/>
      <c r="E1736" s="34"/>
      <c r="F1736" s="34">
        <f>SUM(F1737:F1745)</f>
        <v>21153.6972031425</v>
      </c>
    </row>
    <row r="1737" ht="14.85" customHeight="1" spans="1:6">
      <c r="A1737" s="7"/>
      <c r="B1737" s="273" t="s">
        <v>996</v>
      </c>
      <c r="C1737" s="273" t="s">
        <v>169</v>
      </c>
      <c r="D1737" s="34">
        <f t="shared" ref="D1737:D1742" si="118">D1690</f>
        <v>2238.008025</v>
      </c>
      <c r="E1737" s="34">
        <v>0.4</v>
      </c>
      <c r="F1737" s="34">
        <f t="shared" ref="F1737:F1744" si="119">D1737*E1737</f>
        <v>895.20321</v>
      </c>
    </row>
    <row r="1738" ht="14.85" customHeight="1" spans="1:6">
      <c r="A1738" s="7"/>
      <c r="B1738" s="273" t="s">
        <v>997</v>
      </c>
      <c r="C1738" s="273" t="s">
        <v>863</v>
      </c>
      <c r="D1738" s="34">
        <f t="shared" si="118"/>
        <v>4.44</v>
      </c>
      <c r="E1738" s="34">
        <v>52.08</v>
      </c>
      <c r="F1738" s="34">
        <f t="shared" si="119"/>
        <v>231.2352</v>
      </c>
    </row>
    <row r="1739" ht="14.85" customHeight="1" spans="1:6">
      <c r="A1739" s="7"/>
      <c r="B1739" s="273" t="s">
        <v>998</v>
      </c>
      <c r="C1739" s="273" t="s">
        <v>863</v>
      </c>
      <c r="D1739" s="34">
        <f t="shared" si="118"/>
        <v>4.5</v>
      </c>
      <c r="E1739" s="34">
        <v>42.2</v>
      </c>
      <c r="F1739" s="34">
        <f t="shared" si="119"/>
        <v>189.9</v>
      </c>
    </row>
    <row r="1740" ht="14.85" customHeight="1" spans="1:6">
      <c r="A1740" s="7"/>
      <c r="B1740" s="273" t="s">
        <v>999</v>
      </c>
      <c r="C1740" s="273" t="s">
        <v>863</v>
      </c>
      <c r="D1740" s="34">
        <f t="shared" si="118"/>
        <v>5.15</v>
      </c>
      <c r="E1740" s="34">
        <v>22.32</v>
      </c>
      <c r="F1740" s="34">
        <f t="shared" si="119"/>
        <v>114.948</v>
      </c>
    </row>
    <row r="1741" ht="14.85" customHeight="1" spans="1:6">
      <c r="A1741" s="7"/>
      <c r="B1741" s="273" t="s">
        <v>1000</v>
      </c>
      <c r="C1741" s="273" t="s">
        <v>863</v>
      </c>
      <c r="D1741" s="34">
        <f t="shared" si="118"/>
        <v>4.5</v>
      </c>
      <c r="E1741" s="34">
        <v>67.3</v>
      </c>
      <c r="F1741" s="34">
        <f t="shared" si="119"/>
        <v>302.85</v>
      </c>
    </row>
    <row r="1742" ht="14.85" customHeight="1" spans="1:6">
      <c r="A1742" s="7"/>
      <c r="B1742" s="273" t="s">
        <v>1002</v>
      </c>
      <c r="C1742" s="273" t="s">
        <v>863</v>
      </c>
      <c r="D1742" s="34">
        <f t="shared" si="118"/>
        <v>5.97</v>
      </c>
      <c r="E1742" s="34">
        <v>1.5</v>
      </c>
      <c r="F1742" s="34">
        <f t="shared" si="119"/>
        <v>8.955</v>
      </c>
    </row>
    <row r="1743" ht="14.85" customHeight="1" spans="1:6">
      <c r="A1743" s="7"/>
      <c r="B1743" s="7" t="s">
        <v>1016</v>
      </c>
      <c r="C1743" s="7" t="s">
        <v>169</v>
      </c>
      <c r="D1743" s="34">
        <f>配合比!M10</f>
        <v>183.2481895</v>
      </c>
      <c r="E1743" s="34">
        <v>103</v>
      </c>
      <c r="F1743" s="34">
        <f t="shared" si="119"/>
        <v>18874.5635185</v>
      </c>
    </row>
    <row r="1744" ht="14.85" customHeight="1" spans="1:6">
      <c r="A1744" s="7"/>
      <c r="B1744" s="7" t="s">
        <v>913</v>
      </c>
      <c r="C1744" s="7" t="s">
        <v>169</v>
      </c>
      <c r="D1744" s="34">
        <f>材料预算价!K13</f>
        <v>3.59</v>
      </c>
      <c r="E1744" s="34">
        <v>120</v>
      </c>
      <c r="F1744" s="34">
        <f t="shared" si="119"/>
        <v>430.8</v>
      </c>
    </row>
    <row r="1745" ht="14.85" customHeight="1" spans="1:6">
      <c r="A1745" s="7"/>
      <c r="B1745" s="7" t="s">
        <v>1004</v>
      </c>
      <c r="C1745" s="9" t="s">
        <v>845</v>
      </c>
      <c r="D1745" s="34">
        <f>F1737+F1738+F1739+F1740+F1741+F1742+F1743++F1744</f>
        <v>21048.4549285</v>
      </c>
      <c r="E1745" s="34">
        <v>0.5</v>
      </c>
      <c r="F1745" s="34">
        <f>D1745*E1745/100</f>
        <v>105.2422746425</v>
      </c>
    </row>
    <row r="1746" ht="14.85" customHeight="1" spans="1:6">
      <c r="A1746" s="7">
        <v>3</v>
      </c>
      <c r="B1746" s="7" t="s">
        <v>859</v>
      </c>
      <c r="C1746" s="7"/>
      <c r="D1746" s="34"/>
      <c r="E1746" s="34"/>
      <c r="F1746" s="34">
        <f>SUM(F1747:F1753)</f>
        <v>768.052583711667</v>
      </c>
    </row>
    <row r="1747" ht="14.85" customHeight="1" spans="1:6">
      <c r="A1747" s="7"/>
      <c r="B1747" s="7" t="s">
        <v>1005</v>
      </c>
      <c r="C1747" s="7" t="s">
        <v>428</v>
      </c>
      <c r="D1747" s="34">
        <f t="shared" ref="D1747:D1752" si="120">D1700</f>
        <v>49.389824491424</v>
      </c>
      <c r="E1747" s="34">
        <v>1.5012</v>
      </c>
      <c r="F1747" s="34">
        <f t="shared" ref="F1747:F1752" si="121">D1747*E1747</f>
        <v>74.1440045265257</v>
      </c>
    </row>
    <row r="1748" ht="14.85" customHeight="1" spans="1:6">
      <c r="A1748" s="7"/>
      <c r="B1748" s="7" t="s">
        <v>1006</v>
      </c>
      <c r="C1748" s="7" t="s">
        <v>428</v>
      </c>
      <c r="D1748" s="34">
        <f t="shared" si="120"/>
        <v>62.3342780215397</v>
      </c>
      <c r="E1748" s="34">
        <v>0.35</v>
      </c>
      <c r="F1748" s="34">
        <f t="shared" si="121"/>
        <v>21.8169973075389</v>
      </c>
    </row>
    <row r="1749" ht="14.85" customHeight="1" spans="1:6">
      <c r="A1749" s="7"/>
      <c r="B1749" s="7" t="s">
        <v>1007</v>
      </c>
      <c r="C1749" s="7" t="s">
        <v>428</v>
      </c>
      <c r="D1749" s="34">
        <f t="shared" si="120"/>
        <v>8.3371858795373</v>
      </c>
      <c r="E1749" s="251">
        <v>3.3534</v>
      </c>
      <c r="F1749" s="34">
        <f t="shared" si="121"/>
        <v>27.9579191284404</v>
      </c>
    </row>
    <row r="1750" ht="14.85" customHeight="1" spans="1:6">
      <c r="A1750" s="7"/>
      <c r="B1750" s="7" t="s">
        <v>1008</v>
      </c>
      <c r="C1750" s="7" t="s">
        <v>428</v>
      </c>
      <c r="D1750" s="34">
        <f t="shared" si="120"/>
        <v>23.9179521340247</v>
      </c>
      <c r="E1750" s="34">
        <v>18.54</v>
      </c>
      <c r="F1750" s="34">
        <f t="shared" si="121"/>
        <v>443.438832564818</v>
      </c>
    </row>
    <row r="1751" ht="14.85" customHeight="1" spans="1:6">
      <c r="A1751" s="7"/>
      <c r="B1751" s="7" t="s">
        <v>1021</v>
      </c>
      <c r="C1751" s="7" t="s">
        <v>428</v>
      </c>
      <c r="D1751" s="34">
        <f t="shared" si="120"/>
        <v>2.41252772237734</v>
      </c>
      <c r="E1751" s="254">
        <v>40.05</v>
      </c>
      <c r="F1751" s="34">
        <f t="shared" si="121"/>
        <v>96.6217352812126</v>
      </c>
    </row>
    <row r="1752" ht="14.85" customHeight="1" spans="1:6">
      <c r="A1752" s="7"/>
      <c r="B1752" s="7" t="s">
        <v>967</v>
      </c>
      <c r="C1752" s="7" t="s">
        <v>428</v>
      </c>
      <c r="D1752" s="34">
        <f t="shared" si="120"/>
        <v>0.813242919824491</v>
      </c>
      <c r="E1752" s="34">
        <v>83</v>
      </c>
      <c r="F1752" s="34">
        <f t="shared" si="121"/>
        <v>67.4991623454328</v>
      </c>
    </row>
    <row r="1753" ht="14.85" customHeight="1" spans="1:6">
      <c r="A1753" s="7"/>
      <c r="B1753" s="7" t="s">
        <v>918</v>
      </c>
      <c r="C1753" s="9" t="s">
        <v>845</v>
      </c>
      <c r="D1753" s="34">
        <f>SUM(F1747:F1752)</f>
        <v>731.478651153969</v>
      </c>
      <c r="E1753" s="34">
        <v>5</v>
      </c>
      <c r="F1753" s="34">
        <f>D1753*E1753/100</f>
        <v>36.5739325576984</v>
      </c>
    </row>
    <row r="1754" ht="14.85" customHeight="1" spans="1:6">
      <c r="A1754" s="5">
        <v>4</v>
      </c>
      <c r="B1754" s="5" t="s">
        <v>1010</v>
      </c>
      <c r="C1754" s="275"/>
      <c r="D1754" s="276"/>
      <c r="E1754" s="276"/>
      <c r="F1754" s="276">
        <f>SUM(F1755:F1756)</f>
        <v>1991.65619138815</v>
      </c>
    </row>
    <row r="1755" ht="14.85" customHeight="1" spans="1:6">
      <c r="A1755" s="7"/>
      <c r="B1755" s="123" t="s">
        <v>681</v>
      </c>
      <c r="C1755" s="123" t="s">
        <v>169</v>
      </c>
      <c r="D1755" s="274">
        <f>$F$2795/100</f>
        <v>5.03319379720782</v>
      </c>
      <c r="E1755" s="274">
        <v>103</v>
      </c>
      <c r="F1755" s="34">
        <f>D1755*E1755</f>
        <v>518.418961112405</v>
      </c>
    </row>
    <row r="1756" ht="14.85" customHeight="1" spans="1:6">
      <c r="A1756" s="7"/>
      <c r="B1756" s="123" t="s">
        <v>682</v>
      </c>
      <c r="C1756" s="123" t="s">
        <v>169</v>
      </c>
      <c r="D1756" s="274">
        <f>$F$2813/100</f>
        <v>14.303274080347</v>
      </c>
      <c r="E1756" s="274">
        <v>103</v>
      </c>
      <c r="F1756" s="34">
        <f>D1756*E1756</f>
        <v>1473.23723027574</v>
      </c>
    </row>
    <row r="1757" ht="14.85" customHeight="1" spans="1:6">
      <c r="A1757" s="7" t="s">
        <v>564</v>
      </c>
      <c r="B1757" s="7" t="s">
        <v>846</v>
      </c>
      <c r="C1757" s="230">
        <f>取费表!$C$7</f>
        <v>0.048</v>
      </c>
      <c r="D1757" s="274"/>
      <c r="E1757" s="274">
        <f>F1732</f>
        <v>34704.2659782423</v>
      </c>
      <c r="F1757" s="34">
        <f>E1757*C1757</f>
        <v>1665.80476695563</v>
      </c>
    </row>
    <row r="1758" ht="14.85" customHeight="1" spans="1:6">
      <c r="A1758" s="7"/>
      <c r="B1758" s="7"/>
      <c r="C1758" s="230"/>
      <c r="D1758" s="274"/>
      <c r="E1758" s="274"/>
      <c r="F1758" s="34"/>
    </row>
    <row r="1759" ht="14.85" customHeight="1" spans="1:6">
      <c r="A1759" s="7" t="s">
        <v>439</v>
      </c>
      <c r="B1759" s="7" t="s">
        <v>847</v>
      </c>
      <c r="C1759" s="230">
        <f>取费表!$E$7</f>
        <v>0.07</v>
      </c>
      <c r="D1759" s="274"/>
      <c r="E1759" s="274">
        <f>F1731</f>
        <v>36370.0707451979</v>
      </c>
      <c r="F1759" s="34">
        <f>E1759*C1759</f>
        <v>2545.90495216386</v>
      </c>
    </row>
    <row r="1760" ht="14.85" customHeight="1" spans="1:6">
      <c r="A1760" s="7" t="s">
        <v>83</v>
      </c>
      <c r="B1760" s="7" t="s">
        <v>848</v>
      </c>
      <c r="C1760" s="230">
        <f>取费表!$F$7</f>
        <v>0.07</v>
      </c>
      <c r="D1760" s="274"/>
      <c r="E1760" s="274">
        <f>F1759+F1731</f>
        <v>38915.9756973618</v>
      </c>
      <c r="F1760" s="34">
        <f>E1760*C1760</f>
        <v>2724.11829881533</v>
      </c>
    </row>
    <row r="1761" ht="14.85" customHeight="1" spans="1:6">
      <c r="A1761" s="5" t="s">
        <v>121</v>
      </c>
      <c r="B1761" s="5" t="s">
        <v>861</v>
      </c>
      <c r="C1761" s="275"/>
      <c r="D1761" s="276"/>
      <c r="E1761" s="5"/>
      <c r="F1761" s="277">
        <f>F1762+F1767</f>
        <v>9431.72165343604</v>
      </c>
    </row>
    <row r="1762" ht="14.85" customHeight="1" spans="1:6">
      <c r="A1762" s="7">
        <v>1</v>
      </c>
      <c r="B1762" s="7" t="s">
        <v>1011</v>
      </c>
      <c r="C1762" s="9"/>
      <c r="D1762" s="34"/>
      <c r="E1762" s="7"/>
      <c r="F1762" s="69">
        <f>SUM(F1763:F1766)</f>
        <v>9355.65271143604</v>
      </c>
    </row>
    <row r="1763" ht="14.85" customHeight="1" spans="1:6">
      <c r="A1763" s="7"/>
      <c r="B1763" s="7"/>
      <c r="C1763" s="7"/>
      <c r="D1763" s="34"/>
      <c r="E1763" s="34"/>
      <c r="F1763" s="69"/>
    </row>
    <row r="1764" ht="14.85" customHeight="1" spans="1:6">
      <c r="A1764" s="7"/>
      <c r="B1764" s="7" t="s">
        <v>979</v>
      </c>
      <c r="C1764" s="7" t="s">
        <v>200</v>
      </c>
      <c r="D1764" s="34">
        <f>材料预算价!K5-材料预算价!L5</f>
        <v>141.58936</v>
      </c>
      <c r="E1764" s="34">
        <f>E1743*配合比!E10</f>
        <v>35.035759</v>
      </c>
      <c r="F1764" s="69">
        <f>D1764*E1764</f>
        <v>4960.69069392424</v>
      </c>
    </row>
    <row r="1765" ht="14.85" customHeight="1" spans="1:6">
      <c r="A1765" s="7"/>
      <c r="B1765" s="7" t="s">
        <v>961</v>
      </c>
      <c r="C1765" s="7" t="s">
        <v>169</v>
      </c>
      <c r="D1765" s="34">
        <f>D1718</f>
        <v>34.366056</v>
      </c>
      <c r="E1765" s="34">
        <f>E1743*配合比!G10</f>
        <v>54.40666</v>
      </c>
      <c r="F1765" s="69">
        <f>D1765*E1765</f>
        <v>1869.74232433296</v>
      </c>
    </row>
    <row r="1766" ht="14.85" customHeight="1" spans="1:6">
      <c r="A1766" s="7"/>
      <c r="B1766" s="7" t="s">
        <v>1012</v>
      </c>
      <c r="C1766" s="7" t="s">
        <v>169</v>
      </c>
      <c r="D1766" s="34">
        <f>材料预算价!K8-材料预算价!L8</f>
        <v>29.13701</v>
      </c>
      <c r="E1766" s="34">
        <f>E1743*配合比!I10</f>
        <v>86.667084</v>
      </c>
      <c r="F1766" s="69">
        <f>D1766*E1766</f>
        <v>2525.21969317884</v>
      </c>
    </row>
    <row r="1767" ht="14.85" customHeight="1" spans="1:6">
      <c r="A1767" s="7">
        <v>2</v>
      </c>
      <c r="B1767" s="7" t="s">
        <v>1013</v>
      </c>
      <c r="C1767" s="7"/>
      <c r="D1767" s="34"/>
      <c r="E1767" s="38"/>
      <c r="F1767" s="69">
        <f>SUM(F1768:F1769)</f>
        <v>76.068942</v>
      </c>
    </row>
    <row r="1768" ht="14.85" customHeight="1" spans="1:6">
      <c r="A1768" s="7"/>
      <c r="B1768" s="7" t="s">
        <v>1014</v>
      </c>
      <c r="C1768" s="7" t="s">
        <v>863</v>
      </c>
      <c r="D1768" s="34">
        <f>D1721</f>
        <v>5.925</v>
      </c>
      <c r="E1768" s="38">
        <f>(E1747*7.2+E1748*5.8)</f>
        <v>12.83864</v>
      </c>
      <c r="F1768" s="69">
        <f>D1768*E1768</f>
        <v>76.068942</v>
      </c>
    </row>
    <row r="1769" ht="14.85" customHeight="1" spans="1:6">
      <c r="A1769" s="7"/>
      <c r="B1769" s="7" t="s">
        <v>862</v>
      </c>
      <c r="C1769" s="7" t="s">
        <v>863</v>
      </c>
      <c r="D1769" s="34">
        <f>D1722</f>
        <v>4.58</v>
      </c>
      <c r="E1769" s="38"/>
      <c r="F1769" s="69">
        <f>D1769*E1769</f>
        <v>0</v>
      </c>
    </row>
    <row r="1770" ht="14.85" customHeight="1" spans="1:6">
      <c r="A1770" s="7" t="s">
        <v>135</v>
      </c>
      <c r="B1770" s="7" t="s">
        <v>849</v>
      </c>
      <c r="C1770" s="231">
        <f>C1723</f>
        <v>0.09</v>
      </c>
      <c r="D1770" s="34"/>
      <c r="E1770" s="34">
        <f>F1761+F1760+F1759+F1731</f>
        <v>51071.8156496131</v>
      </c>
      <c r="F1770" s="34">
        <f>E1770*C1770</f>
        <v>4596.46340846518</v>
      </c>
    </row>
    <row r="1771" ht="14.85" customHeight="1" spans="1:6">
      <c r="A1771" s="7"/>
      <c r="B1771" s="7" t="s">
        <v>850</v>
      </c>
      <c r="C1771" s="231"/>
      <c r="D1771" s="34"/>
      <c r="E1771" s="34"/>
      <c r="F1771" s="34">
        <f>(F1731+F1759+F1760+F1761+F1770)*取费表!H4</f>
        <v>1670.04837174235</v>
      </c>
    </row>
    <row r="1772" ht="14.85" customHeight="1" spans="1:6">
      <c r="A1772" s="7"/>
      <c r="B1772" s="7" t="s">
        <v>156</v>
      </c>
      <c r="C1772" s="7"/>
      <c r="D1772" s="34"/>
      <c r="E1772" s="34"/>
      <c r="F1772" s="34">
        <f>F1770+E1770+F1771</f>
        <v>57338.3274298207</v>
      </c>
    </row>
    <row r="1773" ht="14.85" customHeight="1" spans="1:6">
      <c r="A1773" s="236" t="s">
        <v>828</v>
      </c>
      <c r="B1773" s="236"/>
      <c r="C1773" s="236"/>
      <c r="D1773" s="236"/>
      <c r="E1773" s="236"/>
      <c r="F1773" s="236"/>
    </row>
    <row r="1774" ht="14.85" customHeight="1" spans="1:6">
      <c r="A1774" s="278" t="s">
        <v>1052</v>
      </c>
      <c r="B1774" s="272"/>
      <c r="C1774" s="272"/>
      <c r="D1774" s="272"/>
      <c r="E1774" s="272"/>
      <c r="F1774" s="272"/>
    </row>
    <row r="1775" ht="14.85" customHeight="1" spans="1:6">
      <c r="A1775" s="228" t="s">
        <v>1046</v>
      </c>
      <c r="B1775" s="228"/>
      <c r="C1775" s="229"/>
      <c r="D1775" s="229"/>
      <c r="E1775" s="228" t="s">
        <v>832</v>
      </c>
      <c r="F1775" s="228"/>
    </row>
    <row r="1776" ht="14.85" customHeight="1" spans="1:6">
      <c r="A1776" s="146" t="s">
        <v>1047</v>
      </c>
      <c r="B1776" s="233"/>
      <c r="C1776" s="233"/>
      <c r="D1776" s="233"/>
      <c r="E1776" s="233"/>
      <c r="F1776" s="147"/>
    </row>
    <row r="1777" ht="14.85" customHeight="1" spans="1:6">
      <c r="A1777" s="7" t="s">
        <v>104</v>
      </c>
      <c r="B1777" s="7" t="s">
        <v>835</v>
      </c>
      <c r="C1777" s="7" t="s">
        <v>159</v>
      </c>
      <c r="D1777" s="7" t="s">
        <v>422</v>
      </c>
      <c r="E1777" s="7" t="s">
        <v>160</v>
      </c>
      <c r="F1777" s="7" t="s">
        <v>18</v>
      </c>
    </row>
    <row r="1778" ht="14.85" customHeight="1" spans="1:6">
      <c r="A1778" s="7" t="s">
        <v>836</v>
      </c>
      <c r="B1778" s="7" t="s">
        <v>837</v>
      </c>
      <c r="C1778" s="7"/>
      <c r="D1778" s="7"/>
      <c r="E1778" s="279"/>
      <c r="F1778" s="34">
        <f>F1779+F1804+F1805</f>
        <v>36370.0707451979</v>
      </c>
    </row>
    <row r="1779" ht="14.85" customHeight="1" spans="1:6">
      <c r="A1779" s="7" t="s">
        <v>539</v>
      </c>
      <c r="B1779" s="7" t="s">
        <v>838</v>
      </c>
      <c r="C1779" s="7"/>
      <c r="D1779" s="7"/>
      <c r="E1779" s="279"/>
      <c r="F1779" s="247">
        <f>F1780+F1783+F1793+F1801</f>
        <v>34704.2659782423</v>
      </c>
    </row>
    <row r="1780" ht="14.85" customHeight="1" spans="1:6">
      <c r="A1780" s="7">
        <v>1</v>
      </c>
      <c r="B1780" s="7" t="s">
        <v>839</v>
      </c>
      <c r="C1780" s="7" t="s">
        <v>840</v>
      </c>
      <c r="D1780" s="34"/>
      <c r="E1780" s="280">
        <f>SUM(E1781:E1782)</f>
        <v>1486.1</v>
      </c>
      <c r="F1780" s="69">
        <f>SUM(F1781:F1782)</f>
        <v>10790.86</v>
      </c>
    </row>
    <row r="1781" ht="14.85" customHeight="1" spans="1:6">
      <c r="A1781" s="7"/>
      <c r="B1781" s="7" t="s">
        <v>841</v>
      </c>
      <c r="C1781" s="7" t="s">
        <v>840</v>
      </c>
      <c r="D1781" s="69">
        <f>D1734</f>
        <v>8.1</v>
      </c>
      <c r="E1781" s="281">
        <v>951.1</v>
      </c>
      <c r="F1781" s="69">
        <f>D1781*E1781</f>
        <v>7703.91</v>
      </c>
    </row>
    <row r="1782" ht="14.85" customHeight="1" spans="1:6">
      <c r="A1782" s="7"/>
      <c r="B1782" s="7" t="s">
        <v>842</v>
      </c>
      <c r="C1782" s="7" t="s">
        <v>840</v>
      </c>
      <c r="D1782" s="69">
        <f>D1735</f>
        <v>5.77</v>
      </c>
      <c r="E1782" s="281">
        <v>535</v>
      </c>
      <c r="F1782" s="69">
        <f>D1782*E1782</f>
        <v>3086.95</v>
      </c>
    </row>
    <row r="1783" ht="14.85" customHeight="1" spans="1:6">
      <c r="A1783" s="7">
        <v>2</v>
      </c>
      <c r="B1783" s="7" t="s">
        <v>912</v>
      </c>
      <c r="C1783" s="7"/>
      <c r="D1783" s="34"/>
      <c r="E1783" s="34"/>
      <c r="F1783" s="34">
        <f>SUM(F1784:F1792)</f>
        <v>21153.6972031425</v>
      </c>
    </row>
    <row r="1784" ht="14.85" customHeight="1" spans="1:6">
      <c r="A1784" s="7"/>
      <c r="B1784" s="273" t="s">
        <v>996</v>
      </c>
      <c r="C1784" s="273" t="s">
        <v>169</v>
      </c>
      <c r="D1784" s="34">
        <f t="shared" ref="D1784:D1791" si="122">D1737</f>
        <v>2238.008025</v>
      </c>
      <c r="E1784" s="34">
        <v>0.4</v>
      </c>
      <c r="F1784" s="34">
        <f t="shared" ref="F1784:F1791" si="123">D1784*E1784</f>
        <v>895.20321</v>
      </c>
    </row>
    <row r="1785" ht="14.85" customHeight="1" spans="1:6">
      <c r="A1785" s="7"/>
      <c r="B1785" s="273" t="s">
        <v>997</v>
      </c>
      <c r="C1785" s="273" t="s">
        <v>863</v>
      </c>
      <c r="D1785" s="34">
        <f t="shared" si="122"/>
        <v>4.44</v>
      </c>
      <c r="E1785" s="34">
        <v>52.08</v>
      </c>
      <c r="F1785" s="34">
        <f t="shared" si="123"/>
        <v>231.2352</v>
      </c>
    </row>
    <row r="1786" ht="14.85" customHeight="1" spans="1:6">
      <c r="A1786" s="7"/>
      <c r="B1786" s="273" t="s">
        <v>998</v>
      </c>
      <c r="C1786" s="273" t="s">
        <v>863</v>
      </c>
      <c r="D1786" s="34">
        <f t="shared" si="122"/>
        <v>4.5</v>
      </c>
      <c r="E1786" s="34">
        <v>42.2</v>
      </c>
      <c r="F1786" s="34">
        <f t="shared" si="123"/>
        <v>189.9</v>
      </c>
    </row>
    <row r="1787" ht="14.85" customHeight="1" spans="1:6">
      <c r="A1787" s="7"/>
      <c r="B1787" s="273" t="s">
        <v>999</v>
      </c>
      <c r="C1787" s="273" t="s">
        <v>863</v>
      </c>
      <c r="D1787" s="34">
        <f t="shared" si="122"/>
        <v>5.15</v>
      </c>
      <c r="E1787" s="34">
        <v>22.32</v>
      </c>
      <c r="F1787" s="34">
        <f t="shared" si="123"/>
        <v>114.948</v>
      </c>
    </row>
    <row r="1788" ht="14.85" customHeight="1" spans="1:6">
      <c r="A1788" s="7"/>
      <c r="B1788" s="273" t="s">
        <v>1000</v>
      </c>
      <c r="C1788" s="273" t="s">
        <v>863</v>
      </c>
      <c r="D1788" s="34">
        <f t="shared" si="122"/>
        <v>4.5</v>
      </c>
      <c r="E1788" s="34">
        <v>67.3</v>
      </c>
      <c r="F1788" s="34">
        <f t="shared" si="123"/>
        <v>302.85</v>
      </c>
    </row>
    <row r="1789" ht="14.85" customHeight="1" spans="1:6">
      <c r="A1789" s="7"/>
      <c r="B1789" s="273" t="s">
        <v>1002</v>
      </c>
      <c r="C1789" s="273" t="s">
        <v>863</v>
      </c>
      <c r="D1789" s="34">
        <f t="shared" si="122"/>
        <v>5.97</v>
      </c>
      <c r="E1789" s="34">
        <v>1.5</v>
      </c>
      <c r="F1789" s="34">
        <f t="shared" si="123"/>
        <v>8.955</v>
      </c>
    </row>
    <row r="1790" ht="14.85" customHeight="1" spans="1:6">
      <c r="A1790" s="7"/>
      <c r="B1790" s="7" t="s">
        <v>1016</v>
      </c>
      <c r="C1790" s="7" t="s">
        <v>169</v>
      </c>
      <c r="D1790" s="34">
        <f t="shared" si="122"/>
        <v>183.2481895</v>
      </c>
      <c r="E1790" s="34">
        <v>103</v>
      </c>
      <c r="F1790" s="34">
        <f t="shared" si="123"/>
        <v>18874.5635185</v>
      </c>
    </row>
    <row r="1791" ht="14.85" customHeight="1" spans="1:6">
      <c r="A1791" s="7"/>
      <c r="B1791" s="7" t="s">
        <v>913</v>
      </c>
      <c r="C1791" s="7" t="s">
        <v>169</v>
      </c>
      <c r="D1791" s="34">
        <f t="shared" si="122"/>
        <v>3.59</v>
      </c>
      <c r="E1791" s="34">
        <v>120</v>
      </c>
      <c r="F1791" s="34">
        <f t="shared" si="123"/>
        <v>430.8</v>
      </c>
    </row>
    <row r="1792" ht="14.85" customHeight="1" spans="1:6">
      <c r="A1792" s="7"/>
      <c r="B1792" s="7" t="s">
        <v>1004</v>
      </c>
      <c r="C1792" s="9" t="s">
        <v>845</v>
      </c>
      <c r="D1792" s="34">
        <f>F1784+F1785+F1786+F1787+F1788+F1789+F1790++F1791</f>
        <v>21048.4549285</v>
      </c>
      <c r="E1792" s="34">
        <v>0.5</v>
      </c>
      <c r="F1792" s="34">
        <f>D1792*E1792/100</f>
        <v>105.2422746425</v>
      </c>
    </row>
    <row r="1793" ht="14.85" customHeight="1" spans="1:6">
      <c r="A1793" s="7">
        <v>3</v>
      </c>
      <c r="B1793" s="7" t="s">
        <v>859</v>
      </c>
      <c r="C1793" s="7"/>
      <c r="D1793" s="34"/>
      <c r="E1793" s="34"/>
      <c r="F1793" s="34">
        <f>SUM(F1794:F1800)</f>
        <v>768.052583711667</v>
      </c>
    </row>
    <row r="1794" ht="14.85" customHeight="1" spans="1:6">
      <c r="A1794" s="7"/>
      <c r="B1794" s="7" t="s">
        <v>1005</v>
      </c>
      <c r="C1794" s="7" t="s">
        <v>428</v>
      </c>
      <c r="D1794" s="34">
        <f t="shared" ref="D1794:D1799" si="124">D1747</f>
        <v>49.389824491424</v>
      </c>
      <c r="E1794" s="34">
        <v>1.5012</v>
      </c>
      <c r="F1794" s="34">
        <f t="shared" ref="F1794:F1799" si="125">D1794*E1794</f>
        <v>74.1440045265257</v>
      </c>
    </row>
    <row r="1795" ht="14.85" customHeight="1" spans="1:6">
      <c r="A1795" s="7"/>
      <c r="B1795" s="7" t="s">
        <v>1006</v>
      </c>
      <c r="C1795" s="7" t="s">
        <v>428</v>
      </c>
      <c r="D1795" s="34">
        <f t="shared" si="124"/>
        <v>62.3342780215397</v>
      </c>
      <c r="E1795" s="34">
        <v>0.35</v>
      </c>
      <c r="F1795" s="34">
        <f t="shared" si="125"/>
        <v>21.8169973075389</v>
      </c>
    </row>
    <row r="1796" ht="14.85" customHeight="1" spans="1:6">
      <c r="A1796" s="7"/>
      <c r="B1796" s="7" t="s">
        <v>1007</v>
      </c>
      <c r="C1796" s="7" t="s">
        <v>428</v>
      </c>
      <c r="D1796" s="34">
        <f t="shared" si="124"/>
        <v>8.3371858795373</v>
      </c>
      <c r="E1796" s="251">
        <v>3.3534</v>
      </c>
      <c r="F1796" s="34">
        <f t="shared" si="125"/>
        <v>27.9579191284404</v>
      </c>
    </row>
    <row r="1797" ht="14.85" customHeight="1" spans="1:6">
      <c r="A1797" s="7"/>
      <c r="B1797" s="7" t="s">
        <v>1008</v>
      </c>
      <c r="C1797" s="7" t="s">
        <v>428</v>
      </c>
      <c r="D1797" s="34">
        <f t="shared" si="124"/>
        <v>23.9179521340247</v>
      </c>
      <c r="E1797" s="34">
        <v>18.54</v>
      </c>
      <c r="F1797" s="34">
        <f t="shared" si="125"/>
        <v>443.438832564818</v>
      </c>
    </row>
    <row r="1798" ht="14.85" customHeight="1" spans="1:6">
      <c r="A1798" s="7"/>
      <c r="B1798" s="7" t="s">
        <v>1021</v>
      </c>
      <c r="C1798" s="7" t="s">
        <v>428</v>
      </c>
      <c r="D1798" s="34">
        <f t="shared" si="124"/>
        <v>2.41252772237734</v>
      </c>
      <c r="E1798" s="254">
        <v>40.05</v>
      </c>
      <c r="F1798" s="34">
        <f t="shared" si="125"/>
        <v>96.6217352812126</v>
      </c>
    </row>
    <row r="1799" ht="14.85" customHeight="1" spans="1:6">
      <c r="A1799" s="7"/>
      <c r="B1799" s="7" t="s">
        <v>967</v>
      </c>
      <c r="C1799" s="7" t="s">
        <v>428</v>
      </c>
      <c r="D1799" s="34">
        <f t="shared" si="124"/>
        <v>0.813242919824491</v>
      </c>
      <c r="E1799" s="34">
        <v>83</v>
      </c>
      <c r="F1799" s="34">
        <f t="shared" si="125"/>
        <v>67.4991623454328</v>
      </c>
    </row>
    <row r="1800" ht="14.85" customHeight="1" spans="1:6">
      <c r="A1800" s="7"/>
      <c r="B1800" s="7" t="s">
        <v>918</v>
      </c>
      <c r="C1800" s="9" t="s">
        <v>845</v>
      </c>
      <c r="D1800" s="34">
        <f>SUM(F1794:F1799)</f>
        <v>731.478651153969</v>
      </c>
      <c r="E1800" s="34">
        <v>5</v>
      </c>
      <c r="F1800" s="34">
        <f>D1800*E1800/100</f>
        <v>36.5739325576984</v>
      </c>
    </row>
    <row r="1801" ht="14.85" customHeight="1" spans="1:6">
      <c r="A1801" s="5">
        <v>4</v>
      </c>
      <c r="B1801" s="5" t="s">
        <v>1010</v>
      </c>
      <c r="C1801" s="275"/>
      <c r="D1801" s="276"/>
      <c r="E1801" s="276"/>
      <c r="F1801" s="276">
        <f>SUM(F1802:F1803)</f>
        <v>1991.65619138815</v>
      </c>
    </row>
    <row r="1802" ht="14.85" customHeight="1" spans="1:6">
      <c r="A1802" s="7"/>
      <c r="B1802" s="123" t="s">
        <v>681</v>
      </c>
      <c r="C1802" s="123" t="s">
        <v>169</v>
      </c>
      <c r="D1802" s="274">
        <f>$F$2795/100</f>
        <v>5.03319379720782</v>
      </c>
      <c r="E1802" s="274">
        <v>103</v>
      </c>
      <c r="F1802" s="34">
        <f>D1802*E1802</f>
        <v>518.418961112405</v>
      </c>
    </row>
    <row r="1803" ht="14.85" customHeight="1" spans="1:6">
      <c r="A1803" s="7"/>
      <c r="B1803" s="123" t="s">
        <v>682</v>
      </c>
      <c r="C1803" s="123" t="s">
        <v>169</v>
      </c>
      <c r="D1803" s="274">
        <f>$F$2813/100</f>
        <v>14.303274080347</v>
      </c>
      <c r="E1803" s="274">
        <v>103</v>
      </c>
      <c r="F1803" s="34">
        <f>D1803*E1803</f>
        <v>1473.23723027574</v>
      </c>
    </row>
    <row r="1804" ht="14.85" customHeight="1" spans="1:6">
      <c r="A1804" s="7" t="s">
        <v>564</v>
      </c>
      <c r="B1804" s="7" t="s">
        <v>846</v>
      </c>
      <c r="C1804" s="230">
        <f>取费表!$C$7</f>
        <v>0.048</v>
      </c>
      <c r="D1804" s="274"/>
      <c r="E1804" s="274">
        <f>F1779</f>
        <v>34704.2659782423</v>
      </c>
      <c r="F1804" s="34">
        <f>E1804*C1804</f>
        <v>1665.80476695563</v>
      </c>
    </row>
    <row r="1805" ht="14.85" customHeight="1" spans="1:6">
      <c r="A1805" s="7"/>
      <c r="B1805" s="7"/>
      <c r="C1805" s="230"/>
      <c r="D1805" s="274"/>
      <c r="E1805" s="274"/>
      <c r="F1805" s="34"/>
    </row>
    <row r="1806" ht="14.85" customHeight="1" spans="1:6">
      <c r="A1806" s="7" t="s">
        <v>439</v>
      </c>
      <c r="B1806" s="7" t="s">
        <v>847</v>
      </c>
      <c r="C1806" s="230">
        <f>取费表!$E$7</f>
        <v>0.07</v>
      </c>
      <c r="D1806" s="274"/>
      <c r="E1806" s="274">
        <f>F1778</f>
        <v>36370.0707451979</v>
      </c>
      <c r="F1806" s="34">
        <f>E1806*C1806</f>
        <v>2545.90495216386</v>
      </c>
    </row>
    <row r="1807" ht="14.85" customHeight="1" spans="1:6">
      <c r="A1807" s="7" t="s">
        <v>83</v>
      </c>
      <c r="B1807" s="7" t="s">
        <v>848</v>
      </c>
      <c r="C1807" s="230">
        <f>取费表!$F$7</f>
        <v>0.07</v>
      </c>
      <c r="D1807" s="274"/>
      <c r="E1807" s="274">
        <f>F1806+F1778</f>
        <v>38915.9756973618</v>
      </c>
      <c r="F1807" s="34">
        <f>E1807*C1807</f>
        <v>2724.11829881533</v>
      </c>
    </row>
    <row r="1808" ht="14.85" customHeight="1" spans="1:6">
      <c r="A1808" s="5" t="s">
        <v>121</v>
      </c>
      <c r="B1808" s="5" t="s">
        <v>861</v>
      </c>
      <c r="C1808" s="275"/>
      <c r="D1808" s="276"/>
      <c r="E1808" s="5"/>
      <c r="F1808" s="277">
        <f>F1809+F1814</f>
        <v>13763.8967573619</v>
      </c>
    </row>
    <row r="1809" ht="14.85" customHeight="1" spans="1:6">
      <c r="A1809" s="7">
        <v>1</v>
      </c>
      <c r="B1809" s="7" t="s">
        <v>1011</v>
      </c>
      <c r="C1809" s="9"/>
      <c r="D1809" s="34"/>
      <c r="E1809" s="7"/>
      <c r="F1809" s="69">
        <f>SUM(F1810:F1813)</f>
        <v>13687.8278153619</v>
      </c>
    </row>
    <row r="1810" ht="14.85" customHeight="1" spans="1:6">
      <c r="A1810" s="7"/>
      <c r="B1810" s="7"/>
      <c r="C1810" s="7"/>
      <c r="D1810" s="34"/>
      <c r="E1810" s="34"/>
      <c r="F1810" s="69"/>
    </row>
    <row r="1811" ht="14.85" customHeight="1" spans="1:6">
      <c r="A1811" s="7"/>
      <c r="B1811" s="7" t="s">
        <v>983</v>
      </c>
      <c r="C1811" s="7" t="s">
        <v>200</v>
      </c>
      <c r="D1811" s="34">
        <f>材料预算价!K6-材料预算价!L6</f>
        <v>265.23946</v>
      </c>
      <c r="E1811" s="34">
        <f>E1790*配合比!E10</f>
        <v>35.035759</v>
      </c>
      <c r="F1811" s="69">
        <f>D1811*E1811</f>
        <v>9292.86579785014</v>
      </c>
    </row>
    <row r="1812" ht="14.85" customHeight="1" spans="1:6">
      <c r="A1812" s="7"/>
      <c r="B1812" s="7" t="s">
        <v>961</v>
      </c>
      <c r="C1812" s="7" t="s">
        <v>169</v>
      </c>
      <c r="D1812" s="34">
        <f>D1765</f>
        <v>34.366056</v>
      </c>
      <c r="E1812" s="34">
        <f>E1790*配合比!G10</f>
        <v>54.40666</v>
      </c>
      <c r="F1812" s="69">
        <f>D1812*E1812</f>
        <v>1869.74232433296</v>
      </c>
    </row>
    <row r="1813" ht="14.85" customHeight="1" spans="1:6">
      <c r="A1813" s="7"/>
      <c r="B1813" s="7" t="s">
        <v>1012</v>
      </c>
      <c r="C1813" s="7" t="s">
        <v>169</v>
      </c>
      <c r="D1813" s="34">
        <f>D1766</f>
        <v>29.13701</v>
      </c>
      <c r="E1813" s="34">
        <f>E1790*配合比!I10</f>
        <v>86.667084</v>
      </c>
      <c r="F1813" s="69">
        <f>D1813*E1813</f>
        <v>2525.21969317884</v>
      </c>
    </row>
    <row r="1814" ht="14.85" customHeight="1" spans="1:6">
      <c r="A1814" s="7">
        <v>2</v>
      </c>
      <c r="B1814" s="7" t="s">
        <v>1013</v>
      </c>
      <c r="C1814" s="7"/>
      <c r="D1814" s="34"/>
      <c r="E1814" s="38"/>
      <c r="F1814" s="69">
        <f>SUM(F1815:F1816)</f>
        <v>76.068942</v>
      </c>
    </row>
    <row r="1815" ht="14.85" customHeight="1" spans="1:6">
      <c r="A1815" s="7"/>
      <c r="B1815" s="7" t="s">
        <v>1014</v>
      </c>
      <c r="C1815" s="7" t="s">
        <v>863</v>
      </c>
      <c r="D1815" s="34">
        <f>D1768</f>
        <v>5.925</v>
      </c>
      <c r="E1815" s="38">
        <f>(E1794*7.2+E1795*5.8)</f>
        <v>12.83864</v>
      </c>
      <c r="F1815" s="69">
        <f>D1815*E1815</f>
        <v>76.068942</v>
      </c>
    </row>
    <row r="1816" ht="14.85" customHeight="1" spans="1:6">
      <c r="A1816" s="7"/>
      <c r="B1816" s="7" t="s">
        <v>862</v>
      </c>
      <c r="C1816" s="7" t="s">
        <v>863</v>
      </c>
      <c r="D1816" s="34">
        <f>D1769</f>
        <v>4.58</v>
      </c>
      <c r="E1816" s="38"/>
      <c r="F1816" s="69">
        <f>D1816*E1816</f>
        <v>0</v>
      </c>
    </row>
    <row r="1817" ht="14.85" customHeight="1" spans="1:6">
      <c r="A1817" s="7" t="s">
        <v>135</v>
      </c>
      <c r="B1817" s="7" t="s">
        <v>849</v>
      </c>
      <c r="C1817" s="231">
        <f>C1770</f>
        <v>0.09</v>
      </c>
      <c r="D1817" s="34"/>
      <c r="E1817" s="34">
        <f>F1808+F1807+F1806+F1778</f>
        <v>55403.990753539</v>
      </c>
      <c r="F1817" s="34">
        <f>E1817*C1817</f>
        <v>4986.35916781851</v>
      </c>
    </row>
    <row r="1818" ht="14.85" customHeight="1" spans="1:6">
      <c r="A1818" s="7"/>
      <c r="B1818" s="7" t="s">
        <v>850</v>
      </c>
      <c r="C1818" s="231"/>
      <c r="D1818" s="34"/>
      <c r="E1818" s="34"/>
      <c r="F1818" s="34">
        <f>(F1778+F1806+F1807+F1808+F1817)*取费表!H7</f>
        <v>1811.71049764073</v>
      </c>
    </row>
    <row r="1819" ht="14.85" customHeight="1" spans="1:6">
      <c r="A1819" s="7"/>
      <c r="B1819" s="7" t="s">
        <v>156</v>
      </c>
      <c r="C1819" s="7"/>
      <c r="D1819" s="34"/>
      <c r="E1819" s="34"/>
      <c r="F1819" s="34">
        <f>F1817+E1817+F1818</f>
        <v>62202.0604189982</v>
      </c>
    </row>
    <row r="1820" ht="14.85" customHeight="1" spans="1:6">
      <c r="A1820" s="236" t="s">
        <v>828</v>
      </c>
      <c r="B1820" s="236"/>
      <c r="C1820" s="236"/>
      <c r="D1820" s="236"/>
      <c r="E1820" s="236"/>
      <c r="F1820" s="236"/>
    </row>
    <row r="1821" ht="14.85" customHeight="1" spans="1:6">
      <c r="A1821" s="278" t="s">
        <v>1053</v>
      </c>
      <c r="B1821" s="272"/>
      <c r="C1821" s="272"/>
      <c r="D1821" s="272"/>
      <c r="E1821" s="272"/>
      <c r="F1821" s="272"/>
    </row>
    <row r="1822" ht="14.85" customHeight="1" spans="1:6">
      <c r="A1822" s="228" t="s">
        <v>1046</v>
      </c>
      <c r="B1822" s="228"/>
      <c r="C1822" s="229"/>
      <c r="D1822" s="229"/>
      <c r="E1822" s="228" t="s">
        <v>832</v>
      </c>
      <c r="F1822" s="228"/>
    </row>
    <row r="1823" ht="14.85" customHeight="1" spans="1:6">
      <c r="A1823" s="146" t="s">
        <v>1047</v>
      </c>
      <c r="B1823" s="233"/>
      <c r="C1823" s="233"/>
      <c r="D1823" s="233"/>
      <c r="E1823" s="233"/>
      <c r="F1823" s="147"/>
    </row>
    <row r="1824" ht="14.85" customHeight="1" spans="1:6">
      <c r="A1824" s="7" t="s">
        <v>104</v>
      </c>
      <c r="B1824" s="7" t="s">
        <v>835</v>
      </c>
      <c r="C1824" s="7" t="s">
        <v>159</v>
      </c>
      <c r="D1824" s="7" t="s">
        <v>422</v>
      </c>
      <c r="E1824" s="7" t="s">
        <v>160</v>
      </c>
      <c r="F1824" s="7" t="s">
        <v>18</v>
      </c>
    </row>
    <row r="1825" ht="14.85" customHeight="1" spans="1:6">
      <c r="A1825" s="7" t="s">
        <v>836</v>
      </c>
      <c r="B1825" s="7" t="s">
        <v>837</v>
      </c>
      <c r="C1825" s="7"/>
      <c r="D1825" s="7"/>
      <c r="E1825" s="279"/>
      <c r="F1825" s="34">
        <f>F1826+F1851+F1852</f>
        <v>36890.1021023202</v>
      </c>
    </row>
    <row r="1826" ht="14.85" customHeight="1" spans="1:6">
      <c r="A1826" s="7" t="s">
        <v>539</v>
      </c>
      <c r="B1826" s="7" t="s">
        <v>838</v>
      </c>
      <c r="C1826" s="7"/>
      <c r="D1826" s="7"/>
      <c r="E1826" s="279"/>
      <c r="F1826" s="247">
        <f>F1827+F1830+F1840+F1848</f>
        <v>35200.4791052673</v>
      </c>
    </row>
    <row r="1827" ht="14.85" customHeight="1" spans="1:6">
      <c r="A1827" s="7">
        <v>1</v>
      </c>
      <c r="B1827" s="7" t="s">
        <v>839</v>
      </c>
      <c r="C1827" s="7" t="s">
        <v>840</v>
      </c>
      <c r="D1827" s="34"/>
      <c r="E1827" s="280">
        <f>SUM(E1828:E1829)</f>
        <v>1486.1</v>
      </c>
      <c r="F1827" s="69">
        <f>SUM(F1828:F1829)</f>
        <v>10790.86</v>
      </c>
    </row>
    <row r="1828" ht="14.85" customHeight="1" spans="1:6">
      <c r="A1828" s="7"/>
      <c r="B1828" s="7" t="s">
        <v>841</v>
      </c>
      <c r="C1828" s="7" t="s">
        <v>840</v>
      </c>
      <c r="D1828" s="69">
        <f>D1687</f>
        <v>8.1</v>
      </c>
      <c r="E1828" s="281">
        <v>951.1</v>
      </c>
      <c r="F1828" s="69">
        <f>D1828*E1828</f>
        <v>7703.91</v>
      </c>
    </row>
    <row r="1829" ht="14.85" customHeight="1" spans="1:6">
      <c r="A1829" s="7"/>
      <c r="B1829" s="7" t="s">
        <v>842</v>
      </c>
      <c r="C1829" s="7" t="s">
        <v>840</v>
      </c>
      <c r="D1829" s="69">
        <f>D1688</f>
        <v>5.77</v>
      </c>
      <c r="E1829" s="281">
        <v>535</v>
      </c>
      <c r="F1829" s="69">
        <f>D1829*E1829</f>
        <v>3086.95</v>
      </c>
    </row>
    <row r="1830" ht="14.85" customHeight="1" spans="1:6">
      <c r="A1830" s="7">
        <v>2</v>
      </c>
      <c r="B1830" s="7" t="s">
        <v>912</v>
      </c>
      <c r="C1830" s="7"/>
      <c r="D1830" s="34"/>
      <c r="E1830" s="34"/>
      <c r="F1830" s="34">
        <f>SUM(F1831:F1839)</f>
        <v>21649.9103301675</v>
      </c>
    </row>
    <row r="1831" ht="14.85" customHeight="1" spans="1:6">
      <c r="A1831" s="7"/>
      <c r="B1831" s="273" t="s">
        <v>996</v>
      </c>
      <c r="C1831" s="273" t="s">
        <v>169</v>
      </c>
      <c r="D1831" s="34">
        <f t="shared" ref="D1831:D1836" si="126">D1690</f>
        <v>2238.008025</v>
      </c>
      <c r="E1831" s="34">
        <v>0.4</v>
      </c>
      <c r="F1831" s="34">
        <f t="shared" ref="F1831:F1838" si="127">D1831*E1831</f>
        <v>895.20321</v>
      </c>
    </row>
    <row r="1832" ht="14.85" customHeight="1" spans="1:6">
      <c r="A1832" s="7"/>
      <c r="B1832" s="273" t="s">
        <v>997</v>
      </c>
      <c r="C1832" s="273" t="s">
        <v>863</v>
      </c>
      <c r="D1832" s="34">
        <f t="shared" si="126"/>
        <v>4.44</v>
      </c>
      <c r="E1832" s="34">
        <v>52.08</v>
      </c>
      <c r="F1832" s="34">
        <f t="shared" si="127"/>
        <v>231.2352</v>
      </c>
    </row>
    <row r="1833" ht="14.85" customHeight="1" spans="1:6">
      <c r="A1833" s="7"/>
      <c r="B1833" s="273" t="s">
        <v>998</v>
      </c>
      <c r="C1833" s="273" t="s">
        <v>863</v>
      </c>
      <c r="D1833" s="34">
        <f t="shared" si="126"/>
        <v>4.5</v>
      </c>
      <c r="E1833" s="34">
        <v>42.2</v>
      </c>
      <c r="F1833" s="34">
        <f t="shared" si="127"/>
        <v>189.9</v>
      </c>
    </row>
    <row r="1834" ht="14.85" customHeight="1" spans="1:6">
      <c r="A1834" s="7"/>
      <c r="B1834" s="273" t="s">
        <v>999</v>
      </c>
      <c r="C1834" s="273" t="s">
        <v>863</v>
      </c>
      <c r="D1834" s="34">
        <f t="shared" si="126"/>
        <v>5.15</v>
      </c>
      <c r="E1834" s="34">
        <v>22.32</v>
      </c>
      <c r="F1834" s="34">
        <f t="shared" si="127"/>
        <v>114.948</v>
      </c>
    </row>
    <row r="1835" ht="14.85" customHeight="1" spans="1:6">
      <c r="A1835" s="7"/>
      <c r="B1835" s="273" t="s">
        <v>1000</v>
      </c>
      <c r="C1835" s="273" t="s">
        <v>863</v>
      </c>
      <c r="D1835" s="34">
        <f t="shared" si="126"/>
        <v>4.5</v>
      </c>
      <c r="E1835" s="34">
        <v>67.3</v>
      </c>
      <c r="F1835" s="34">
        <f t="shared" si="127"/>
        <v>302.85</v>
      </c>
    </row>
    <row r="1836" ht="14.85" customHeight="1" spans="1:6">
      <c r="A1836" s="7"/>
      <c r="B1836" s="273" t="s">
        <v>1002</v>
      </c>
      <c r="C1836" s="273" t="s">
        <v>863</v>
      </c>
      <c r="D1836" s="34">
        <f t="shared" si="126"/>
        <v>5.97</v>
      </c>
      <c r="E1836" s="34">
        <v>1.5</v>
      </c>
      <c r="F1836" s="34">
        <f t="shared" si="127"/>
        <v>8.955</v>
      </c>
    </row>
    <row r="1837" ht="14.85" customHeight="1" spans="1:6">
      <c r="A1837" s="7"/>
      <c r="B1837" s="7" t="s">
        <v>1025</v>
      </c>
      <c r="C1837" s="7" t="s">
        <v>169</v>
      </c>
      <c r="D1837" s="34">
        <f>配合比!M11</f>
        <v>188.0418245</v>
      </c>
      <c r="E1837" s="34">
        <v>103</v>
      </c>
      <c r="F1837" s="34">
        <f t="shared" si="127"/>
        <v>19368.3079235</v>
      </c>
    </row>
    <row r="1838" ht="14.85" customHeight="1" spans="1:6">
      <c r="A1838" s="7"/>
      <c r="B1838" s="7" t="s">
        <v>913</v>
      </c>
      <c r="C1838" s="7" t="s">
        <v>169</v>
      </c>
      <c r="D1838" s="34">
        <f>D1697</f>
        <v>3.59</v>
      </c>
      <c r="E1838" s="34">
        <v>120</v>
      </c>
      <c r="F1838" s="34">
        <f t="shared" si="127"/>
        <v>430.8</v>
      </c>
    </row>
    <row r="1839" ht="14.85" customHeight="1" spans="1:6">
      <c r="A1839" s="7"/>
      <c r="B1839" s="7" t="s">
        <v>1004</v>
      </c>
      <c r="C1839" s="9" t="s">
        <v>845</v>
      </c>
      <c r="D1839" s="34">
        <f>F1831+F1832+F1833+F1834+F1835+F1836+F1837++F1838</f>
        <v>21542.1993335</v>
      </c>
      <c r="E1839" s="34">
        <v>0.5</v>
      </c>
      <c r="F1839" s="34">
        <f>D1839*E1839/100</f>
        <v>107.7109966675</v>
      </c>
    </row>
    <row r="1840" ht="14.85" customHeight="1" spans="1:6">
      <c r="A1840" s="7">
        <v>3</v>
      </c>
      <c r="B1840" s="7" t="s">
        <v>859</v>
      </c>
      <c r="C1840" s="7"/>
      <c r="D1840" s="34"/>
      <c r="E1840" s="34"/>
      <c r="F1840" s="34">
        <f>SUM(F1841:F1847)</f>
        <v>768.052583711667</v>
      </c>
    </row>
    <row r="1841" ht="14.85" customHeight="1" spans="1:6">
      <c r="A1841" s="7"/>
      <c r="B1841" s="7" t="s">
        <v>1005</v>
      </c>
      <c r="C1841" s="7" t="s">
        <v>428</v>
      </c>
      <c r="D1841" s="34">
        <f t="shared" ref="D1841:D1847" si="128">D1700</f>
        <v>49.389824491424</v>
      </c>
      <c r="E1841" s="34">
        <v>1.5012</v>
      </c>
      <c r="F1841" s="34">
        <f t="shared" ref="F1841:F1846" si="129">D1841*E1841</f>
        <v>74.1440045265257</v>
      </c>
    </row>
    <row r="1842" ht="14.85" customHeight="1" spans="1:6">
      <c r="A1842" s="7"/>
      <c r="B1842" s="7" t="s">
        <v>1006</v>
      </c>
      <c r="C1842" s="7" t="s">
        <v>428</v>
      </c>
      <c r="D1842" s="34">
        <f t="shared" si="128"/>
        <v>62.3342780215397</v>
      </c>
      <c r="E1842" s="34">
        <v>0.35</v>
      </c>
      <c r="F1842" s="34">
        <f t="shared" si="129"/>
        <v>21.8169973075389</v>
      </c>
    </row>
    <row r="1843" ht="14.85" customHeight="1" spans="1:6">
      <c r="A1843" s="7"/>
      <c r="B1843" s="7" t="s">
        <v>1007</v>
      </c>
      <c r="C1843" s="7" t="s">
        <v>428</v>
      </c>
      <c r="D1843" s="34">
        <f t="shared" si="128"/>
        <v>8.3371858795373</v>
      </c>
      <c r="E1843" s="251">
        <v>3.3534</v>
      </c>
      <c r="F1843" s="34">
        <f t="shared" si="129"/>
        <v>27.9579191284404</v>
      </c>
    </row>
    <row r="1844" ht="14.85" customHeight="1" spans="1:6">
      <c r="A1844" s="7"/>
      <c r="B1844" s="7" t="s">
        <v>1008</v>
      </c>
      <c r="C1844" s="7" t="s">
        <v>428</v>
      </c>
      <c r="D1844" s="34">
        <f t="shared" si="128"/>
        <v>23.9179521340247</v>
      </c>
      <c r="E1844" s="34">
        <v>18.54</v>
      </c>
      <c r="F1844" s="34">
        <f t="shared" si="129"/>
        <v>443.438832564818</v>
      </c>
    </row>
    <row r="1845" ht="14.85" customHeight="1" spans="1:6">
      <c r="A1845" s="7"/>
      <c r="B1845" s="7" t="s">
        <v>1021</v>
      </c>
      <c r="C1845" s="7" t="s">
        <v>428</v>
      </c>
      <c r="D1845" s="34">
        <f t="shared" si="128"/>
        <v>2.41252772237734</v>
      </c>
      <c r="E1845" s="254">
        <v>40.05</v>
      </c>
      <c r="F1845" s="34">
        <f t="shared" si="129"/>
        <v>96.6217352812126</v>
      </c>
    </row>
    <row r="1846" ht="14.85" customHeight="1" spans="1:6">
      <c r="A1846" s="7"/>
      <c r="B1846" s="7" t="s">
        <v>967</v>
      </c>
      <c r="C1846" s="7" t="s">
        <v>428</v>
      </c>
      <c r="D1846" s="34">
        <f t="shared" si="128"/>
        <v>0.813242919824491</v>
      </c>
      <c r="E1846" s="34">
        <v>83</v>
      </c>
      <c r="F1846" s="34">
        <f t="shared" si="129"/>
        <v>67.4991623454328</v>
      </c>
    </row>
    <row r="1847" ht="14.85" customHeight="1" spans="1:6">
      <c r="A1847" s="7"/>
      <c r="B1847" s="7" t="s">
        <v>918</v>
      </c>
      <c r="C1847" s="9" t="s">
        <v>845</v>
      </c>
      <c r="D1847" s="34">
        <f t="shared" si="128"/>
        <v>731.478651153969</v>
      </c>
      <c r="E1847" s="34">
        <v>5</v>
      </c>
      <c r="F1847" s="34">
        <f>D1847*E1847/100</f>
        <v>36.5739325576984</v>
      </c>
    </row>
    <row r="1848" ht="14.85" customHeight="1" spans="1:6">
      <c r="A1848" s="5">
        <v>4</v>
      </c>
      <c r="B1848" s="5" t="s">
        <v>1010</v>
      </c>
      <c r="C1848" s="275"/>
      <c r="D1848" s="276"/>
      <c r="E1848" s="276"/>
      <c r="F1848" s="276">
        <f>SUM(F1849:F1850)</f>
        <v>1991.65619138815</v>
      </c>
    </row>
    <row r="1849" ht="14.85" customHeight="1" spans="1:6">
      <c r="A1849" s="7"/>
      <c r="B1849" s="123" t="s">
        <v>681</v>
      </c>
      <c r="C1849" s="123" t="s">
        <v>169</v>
      </c>
      <c r="D1849" s="274">
        <f>$F$2795/100</f>
        <v>5.03319379720782</v>
      </c>
      <c r="E1849" s="274">
        <v>103</v>
      </c>
      <c r="F1849" s="34">
        <f>D1849*E1849</f>
        <v>518.418961112405</v>
      </c>
    </row>
    <row r="1850" ht="14.85" customHeight="1" spans="1:6">
      <c r="A1850" s="7"/>
      <c r="B1850" s="123" t="s">
        <v>682</v>
      </c>
      <c r="C1850" s="123" t="s">
        <v>169</v>
      </c>
      <c r="D1850" s="274">
        <f>$F$2813/100</f>
        <v>14.303274080347</v>
      </c>
      <c r="E1850" s="274">
        <v>103</v>
      </c>
      <c r="F1850" s="34">
        <f>D1850*E1850</f>
        <v>1473.23723027574</v>
      </c>
    </row>
    <row r="1851" ht="14.85" customHeight="1" spans="1:6">
      <c r="A1851" s="7" t="s">
        <v>564</v>
      </c>
      <c r="B1851" s="7" t="s">
        <v>846</v>
      </c>
      <c r="C1851" s="230">
        <f>取费表!$C$7</f>
        <v>0.048</v>
      </c>
      <c r="D1851" s="274"/>
      <c r="E1851" s="274">
        <f>F1826</f>
        <v>35200.4791052673</v>
      </c>
      <c r="F1851" s="34">
        <f>E1851*C1851</f>
        <v>1689.62299705283</v>
      </c>
    </row>
    <row r="1852" ht="14.85" customHeight="1" spans="1:6">
      <c r="A1852" s="7"/>
      <c r="B1852" s="7"/>
      <c r="C1852" s="230"/>
      <c r="D1852" s="274"/>
      <c r="E1852" s="274"/>
      <c r="F1852" s="34"/>
    </row>
    <row r="1853" ht="14.85" customHeight="1" spans="1:6">
      <c r="A1853" s="7" t="s">
        <v>439</v>
      </c>
      <c r="B1853" s="7" t="s">
        <v>847</v>
      </c>
      <c r="C1853" s="230">
        <f>取费表!$E$7</f>
        <v>0.07</v>
      </c>
      <c r="D1853" s="274"/>
      <c r="E1853" s="274">
        <f>F1825</f>
        <v>36890.1021023202</v>
      </c>
      <c r="F1853" s="34">
        <f>E1853*C1853</f>
        <v>2582.30714716241</v>
      </c>
    </row>
    <row r="1854" ht="14.85" customHeight="1" spans="1:6">
      <c r="A1854" s="7" t="s">
        <v>83</v>
      </c>
      <c r="B1854" s="7" t="s">
        <v>848</v>
      </c>
      <c r="C1854" s="230">
        <f>取费表!$F$7</f>
        <v>0.07</v>
      </c>
      <c r="D1854" s="274"/>
      <c r="E1854" s="274">
        <f>F1853+F1825</f>
        <v>39472.4092494826</v>
      </c>
      <c r="F1854" s="34">
        <f>E1854*C1854</f>
        <v>2763.06864746378</v>
      </c>
    </row>
    <row r="1855" ht="14.85" customHeight="1" spans="1:6">
      <c r="A1855" s="5" t="s">
        <v>121</v>
      </c>
      <c r="B1855" s="5" t="s">
        <v>861</v>
      </c>
      <c r="C1855" s="275"/>
      <c r="D1855" s="276"/>
      <c r="E1855" s="5"/>
      <c r="F1855" s="277">
        <f>F1856+F1861</f>
        <v>9715.87105394332</v>
      </c>
    </row>
    <row r="1856" ht="14.85" customHeight="1" spans="1:6">
      <c r="A1856" s="7">
        <v>1</v>
      </c>
      <c r="B1856" s="7" t="s">
        <v>1011</v>
      </c>
      <c r="C1856" s="9"/>
      <c r="D1856" s="34"/>
      <c r="E1856" s="7"/>
      <c r="F1856" s="69">
        <f>SUM(F1857:F1860)</f>
        <v>9639.80211194332</v>
      </c>
    </row>
    <row r="1857" ht="14.85" customHeight="1" spans="1:6">
      <c r="A1857" s="7"/>
      <c r="B1857" s="7"/>
      <c r="C1857" s="7"/>
      <c r="D1857" s="34"/>
      <c r="E1857" s="34"/>
      <c r="F1857" s="69"/>
    </row>
    <row r="1858" ht="14.85" customHeight="1" spans="1:6">
      <c r="A1858" s="7"/>
      <c r="B1858" s="7" t="s">
        <v>979</v>
      </c>
      <c r="C1858" s="7" t="s">
        <v>200</v>
      </c>
      <c r="D1858" s="34">
        <f>材料预算价!K5-材料预算价!L5</f>
        <v>141.58936</v>
      </c>
      <c r="E1858" s="34">
        <f>E1837*配合比!E11</f>
        <v>37.58161</v>
      </c>
      <c r="F1858" s="69">
        <f>D1858*E1858</f>
        <v>5321.1561076696</v>
      </c>
    </row>
    <row r="1859" ht="14.85" customHeight="1" spans="1:6">
      <c r="A1859" s="7"/>
      <c r="B1859" s="7" t="s">
        <v>961</v>
      </c>
      <c r="C1859" s="7" t="s">
        <v>169</v>
      </c>
      <c r="D1859" s="34">
        <f>D1718</f>
        <v>34.366056</v>
      </c>
      <c r="E1859" s="34">
        <f>E1837*配合比!G11</f>
        <v>52.18598</v>
      </c>
      <c r="F1859" s="69">
        <f>D1859*E1859</f>
        <v>1793.42631109488</v>
      </c>
    </row>
    <row r="1860" ht="14.85" customHeight="1" spans="1:6">
      <c r="A1860" s="7"/>
      <c r="B1860" s="7" t="s">
        <v>1012</v>
      </c>
      <c r="C1860" s="7" t="s">
        <v>169</v>
      </c>
      <c r="D1860" s="34">
        <f>D1719</f>
        <v>29.13701</v>
      </c>
      <c r="E1860" s="34">
        <f>E1837*配合比!I11</f>
        <v>86.667084</v>
      </c>
      <c r="F1860" s="69">
        <f>D1860*E1860</f>
        <v>2525.21969317884</v>
      </c>
    </row>
    <row r="1861" ht="14.85" customHeight="1" spans="1:6">
      <c r="A1861" s="7">
        <v>2</v>
      </c>
      <c r="B1861" s="7" t="s">
        <v>1013</v>
      </c>
      <c r="C1861" s="7"/>
      <c r="D1861" s="34"/>
      <c r="E1861" s="38"/>
      <c r="F1861" s="69">
        <f>SUM(F1862:F1863)</f>
        <v>76.068942</v>
      </c>
    </row>
    <row r="1862" ht="14.85" customHeight="1" spans="1:6">
      <c r="A1862" s="7"/>
      <c r="B1862" s="7" t="s">
        <v>1014</v>
      </c>
      <c r="C1862" s="7" t="s">
        <v>863</v>
      </c>
      <c r="D1862" s="34">
        <f>D1721</f>
        <v>5.925</v>
      </c>
      <c r="E1862" s="38">
        <f>(E1841*7.2+E1842*5.8)</f>
        <v>12.83864</v>
      </c>
      <c r="F1862" s="69">
        <f>D1862*E1862</f>
        <v>76.068942</v>
      </c>
    </row>
    <row r="1863" ht="14.85" customHeight="1" spans="1:6">
      <c r="A1863" s="7"/>
      <c r="B1863" s="7" t="s">
        <v>862</v>
      </c>
      <c r="C1863" s="7" t="s">
        <v>863</v>
      </c>
      <c r="D1863" s="34">
        <f>D1722</f>
        <v>4.58</v>
      </c>
      <c r="E1863" s="38"/>
      <c r="F1863" s="69">
        <f>D1863*E1863</f>
        <v>0</v>
      </c>
    </row>
    <row r="1864" ht="14.85" customHeight="1" spans="1:6">
      <c r="A1864" s="7" t="s">
        <v>135</v>
      </c>
      <c r="B1864" s="7" t="s">
        <v>849</v>
      </c>
      <c r="C1864" s="231">
        <f>C1723</f>
        <v>0.09</v>
      </c>
      <c r="D1864" s="34"/>
      <c r="E1864" s="34">
        <f>F1855+F1854+F1853+F1825</f>
        <v>51951.3489508897</v>
      </c>
      <c r="F1864" s="34">
        <f>E1864*C1864</f>
        <v>4675.62140558007</v>
      </c>
    </row>
    <row r="1865" ht="14.85" customHeight="1" spans="1:6">
      <c r="A1865" s="7"/>
      <c r="B1865" s="7" t="s">
        <v>850</v>
      </c>
      <c r="C1865" s="231"/>
      <c r="D1865" s="34"/>
      <c r="E1865" s="34"/>
      <c r="F1865" s="34">
        <f>(F1825+F1853+F1854+F1855+F1864)*取费表!H7</f>
        <v>1698.80911069409</v>
      </c>
    </row>
    <row r="1866" ht="14.85" customHeight="1" spans="1:6">
      <c r="A1866" s="7"/>
      <c r="B1866" s="7" t="s">
        <v>156</v>
      </c>
      <c r="C1866" s="7"/>
      <c r="D1866" s="34"/>
      <c r="E1866" s="34"/>
      <c r="F1866" s="34">
        <f>F1864+E1864+F1865</f>
        <v>58325.7794671639</v>
      </c>
    </row>
    <row r="1867" ht="14.85" customHeight="1" spans="1:6">
      <c r="A1867" s="236" t="s">
        <v>828</v>
      </c>
      <c r="B1867" s="236"/>
      <c r="C1867" s="236"/>
      <c r="D1867" s="236"/>
      <c r="E1867" s="236"/>
      <c r="F1867" s="236"/>
    </row>
    <row r="1868" ht="14.85" customHeight="1" spans="1:6">
      <c r="A1868" s="278" t="s">
        <v>1054</v>
      </c>
      <c r="B1868" s="272"/>
      <c r="C1868" s="272"/>
      <c r="D1868" s="272"/>
      <c r="E1868" s="272"/>
      <c r="F1868" s="272"/>
    </row>
    <row r="1869" ht="14.85" customHeight="1" spans="1:6">
      <c r="A1869" s="228" t="s">
        <v>1046</v>
      </c>
      <c r="B1869" s="228"/>
      <c r="C1869" s="229"/>
      <c r="D1869" s="229"/>
      <c r="E1869" s="228" t="s">
        <v>832</v>
      </c>
      <c r="F1869" s="228"/>
    </row>
    <row r="1870" ht="14.85" customHeight="1" spans="1:6">
      <c r="A1870" s="146" t="s">
        <v>1047</v>
      </c>
      <c r="B1870" s="233"/>
      <c r="C1870" s="233"/>
      <c r="D1870" s="233"/>
      <c r="E1870" s="233"/>
      <c r="F1870" s="147"/>
    </row>
    <row r="1871" ht="14.85" customHeight="1" spans="1:6">
      <c r="A1871" s="7" t="s">
        <v>104</v>
      </c>
      <c r="B1871" s="7" t="s">
        <v>835</v>
      </c>
      <c r="C1871" s="7" t="s">
        <v>159</v>
      </c>
      <c r="D1871" s="7" t="s">
        <v>422</v>
      </c>
      <c r="E1871" s="7" t="s">
        <v>160</v>
      </c>
      <c r="F1871" s="7" t="s">
        <v>18</v>
      </c>
    </row>
    <row r="1872" ht="14.85" customHeight="1" spans="1:6">
      <c r="A1872" s="7" t="s">
        <v>836</v>
      </c>
      <c r="B1872" s="7" t="s">
        <v>837</v>
      </c>
      <c r="C1872" s="7"/>
      <c r="D1872" s="7"/>
      <c r="E1872" s="279"/>
      <c r="F1872" s="34">
        <f>F1873+F1898+F1899</f>
        <v>36890.1021023202</v>
      </c>
    </row>
    <row r="1873" ht="14.85" customHeight="1" spans="1:6">
      <c r="A1873" s="7" t="s">
        <v>539</v>
      </c>
      <c r="B1873" s="7" t="s">
        <v>838</v>
      </c>
      <c r="C1873" s="7"/>
      <c r="D1873" s="7"/>
      <c r="E1873" s="279"/>
      <c r="F1873" s="247">
        <f>F1874+F1877+F1887+F1895</f>
        <v>35200.4791052673</v>
      </c>
    </row>
    <row r="1874" ht="14.85" customHeight="1" spans="1:6">
      <c r="A1874" s="7">
        <v>1</v>
      </c>
      <c r="B1874" s="7" t="s">
        <v>839</v>
      </c>
      <c r="C1874" s="7" t="s">
        <v>840</v>
      </c>
      <c r="D1874" s="34"/>
      <c r="E1874" s="280">
        <f>SUM(E1875:E1876)</f>
        <v>1486.1</v>
      </c>
      <c r="F1874" s="69">
        <f>SUM(F1875:F1876)</f>
        <v>10790.86</v>
      </c>
    </row>
    <row r="1875" ht="14.85" customHeight="1" spans="1:6">
      <c r="A1875" s="7"/>
      <c r="B1875" s="7" t="s">
        <v>841</v>
      </c>
      <c r="C1875" s="7" t="s">
        <v>840</v>
      </c>
      <c r="D1875" s="69">
        <f>D1734</f>
        <v>8.1</v>
      </c>
      <c r="E1875" s="281">
        <v>951.1</v>
      </c>
      <c r="F1875" s="69">
        <f>D1875*E1875</f>
        <v>7703.91</v>
      </c>
    </row>
    <row r="1876" ht="14.85" customHeight="1" spans="1:6">
      <c r="A1876" s="7"/>
      <c r="B1876" s="7" t="s">
        <v>842</v>
      </c>
      <c r="C1876" s="7" t="s">
        <v>840</v>
      </c>
      <c r="D1876" s="69">
        <f>D1735</f>
        <v>5.77</v>
      </c>
      <c r="E1876" s="281">
        <v>535</v>
      </c>
      <c r="F1876" s="69">
        <f>D1876*E1876</f>
        <v>3086.95</v>
      </c>
    </row>
    <row r="1877" ht="14.85" customHeight="1" spans="1:6">
      <c r="A1877" s="7">
        <v>2</v>
      </c>
      <c r="B1877" s="7" t="s">
        <v>912</v>
      </c>
      <c r="C1877" s="7"/>
      <c r="D1877" s="34"/>
      <c r="E1877" s="34"/>
      <c r="F1877" s="34">
        <f>SUM(F1878:F1886)</f>
        <v>21649.9103301675</v>
      </c>
    </row>
    <row r="1878" ht="14.85" customHeight="1" spans="1:6">
      <c r="A1878" s="7"/>
      <c r="B1878" s="273" t="s">
        <v>996</v>
      </c>
      <c r="C1878" s="273" t="s">
        <v>169</v>
      </c>
      <c r="D1878" s="34">
        <f t="shared" ref="D1878:D1883" si="130">D1737</f>
        <v>2238.008025</v>
      </c>
      <c r="E1878" s="34">
        <v>0.4</v>
      </c>
      <c r="F1878" s="34">
        <f t="shared" ref="F1878:F1885" si="131">D1878*E1878</f>
        <v>895.20321</v>
      </c>
    </row>
    <row r="1879" ht="14.85" customHeight="1" spans="1:6">
      <c r="A1879" s="7"/>
      <c r="B1879" s="273" t="s">
        <v>997</v>
      </c>
      <c r="C1879" s="273" t="s">
        <v>863</v>
      </c>
      <c r="D1879" s="34">
        <f t="shared" si="130"/>
        <v>4.44</v>
      </c>
      <c r="E1879" s="34">
        <v>52.08</v>
      </c>
      <c r="F1879" s="34">
        <f t="shared" si="131"/>
        <v>231.2352</v>
      </c>
    </row>
    <row r="1880" ht="14.85" customHeight="1" spans="1:6">
      <c r="A1880" s="7"/>
      <c r="B1880" s="273" t="s">
        <v>998</v>
      </c>
      <c r="C1880" s="273" t="s">
        <v>863</v>
      </c>
      <c r="D1880" s="34">
        <f t="shared" si="130"/>
        <v>4.5</v>
      </c>
      <c r="E1880" s="34">
        <v>42.2</v>
      </c>
      <c r="F1880" s="34">
        <f t="shared" si="131"/>
        <v>189.9</v>
      </c>
    </row>
    <row r="1881" ht="14.85" customHeight="1" spans="1:6">
      <c r="A1881" s="7"/>
      <c r="B1881" s="273" t="s">
        <v>999</v>
      </c>
      <c r="C1881" s="273" t="s">
        <v>863</v>
      </c>
      <c r="D1881" s="34">
        <f t="shared" si="130"/>
        <v>5.15</v>
      </c>
      <c r="E1881" s="34">
        <v>22.32</v>
      </c>
      <c r="F1881" s="34">
        <f t="shared" si="131"/>
        <v>114.948</v>
      </c>
    </row>
    <row r="1882" ht="14.85" customHeight="1" spans="1:6">
      <c r="A1882" s="7"/>
      <c r="B1882" s="273" t="s">
        <v>1000</v>
      </c>
      <c r="C1882" s="273" t="s">
        <v>863</v>
      </c>
      <c r="D1882" s="34">
        <f t="shared" si="130"/>
        <v>4.5</v>
      </c>
      <c r="E1882" s="34">
        <v>67.3</v>
      </c>
      <c r="F1882" s="34">
        <f t="shared" si="131"/>
        <v>302.85</v>
      </c>
    </row>
    <row r="1883" ht="14.85" customHeight="1" spans="1:6">
      <c r="A1883" s="7"/>
      <c r="B1883" s="273" t="s">
        <v>1002</v>
      </c>
      <c r="C1883" s="273" t="s">
        <v>863</v>
      </c>
      <c r="D1883" s="34">
        <f t="shared" si="130"/>
        <v>5.97</v>
      </c>
      <c r="E1883" s="34">
        <v>1.5</v>
      </c>
      <c r="F1883" s="34">
        <f t="shared" si="131"/>
        <v>8.955</v>
      </c>
    </row>
    <row r="1884" ht="14.85" customHeight="1" spans="1:6">
      <c r="A1884" s="7"/>
      <c r="B1884" s="7" t="s">
        <v>1025</v>
      </c>
      <c r="C1884" s="7" t="s">
        <v>169</v>
      </c>
      <c r="D1884" s="34">
        <f>配合比!M11</f>
        <v>188.0418245</v>
      </c>
      <c r="E1884" s="34">
        <v>103</v>
      </c>
      <c r="F1884" s="34">
        <f t="shared" si="131"/>
        <v>19368.3079235</v>
      </c>
    </row>
    <row r="1885" ht="14.85" customHeight="1" spans="1:6">
      <c r="A1885" s="7"/>
      <c r="B1885" s="7" t="s">
        <v>913</v>
      </c>
      <c r="C1885" s="7" t="s">
        <v>169</v>
      </c>
      <c r="D1885" s="34">
        <f>D1744</f>
        <v>3.59</v>
      </c>
      <c r="E1885" s="34">
        <v>120</v>
      </c>
      <c r="F1885" s="34">
        <f t="shared" si="131"/>
        <v>430.8</v>
      </c>
    </row>
    <row r="1886" ht="14.85" customHeight="1" spans="1:6">
      <c r="A1886" s="7"/>
      <c r="B1886" s="7" t="s">
        <v>1004</v>
      </c>
      <c r="C1886" s="9" t="s">
        <v>845</v>
      </c>
      <c r="D1886" s="34">
        <f>F1878+F1879+F1880+F1881+F1882+F1883+F1884++F1885</f>
        <v>21542.1993335</v>
      </c>
      <c r="E1886" s="34">
        <v>0.5</v>
      </c>
      <c r="F1886" s="34">
        <f>D1886*E1886/100</f>
        <v>107.7109966675</v>
      </c>
    </row>
    <row r="1887" ht="14.85" customHeight="1" spans="1:6">
      <c r="A1887" s="7">
        <v>3</v>
      </c>
      <c r="B1887" s="7" t="s">
        <v>859</v>
      </c>
      <c r="C1887" s="7"/>
      <c r="D1887" s="34"/>
      <c r="E1887" s="34"/>
      <c r="F1887" s="34">
        <f>SUM(F1888:F1894)</f>
        <v>768.052583711667</v>
      </c>
    </row>
    <row r="1888" ht="14.85" customHeight="1" spans="1:6">
      <c r="A1888" s="7"/>
      <c r="B1888" s="7" t="s">
        <v>1005</v>
      </c>
      <c r="C1888" s="7" t="s">
        <v>428</v>
      </c>
      <c r="D1888" s="34">
        <f t="shared" ref="D1888:D1894" si="132">D1747</f>
        <v>49.389824491424</v>
      </c>
      <c r="E1888" s="34">
        <v>1.5012</v>
      </c>
      <c r="F1888" s="34">
        <f t="shared" ref="F1888:F1893" si="133">D1888*E1888</f>
        <v>74.1440045265257</v>
      </c>
    </row>
    <row r="1889" ht="14.85" customHeight="1" spans="1:6">
      <c r="A1889" s="7"/>
      <c r="B1889" s="7" t="s">
        <v>1006</v>
      </c>
      <c r="C1889" s="7" t="s">
        <v>428</v>
      </c>
      <c r="D1889" s="34">
        <f t="shared" si="132"/>
        <v>62.3342780215397</v>
      </c>
      <c r="E1889" s="34">
        <v>0.35</v>
      </c>
      <c r="F1889" s="34">
        <f t="shared" si="133"/>
        <v>21.8169973075389</v>
      </c>
    </row>
    <row r="1890" ht="14.85" customHeight="1" spans="1:6">
      <c r="A1890" s="7"/>
      <c r="B1890" s="7" t="s">
        <v>1007</v>
      </c>
      <c r="C1890" s="7" t="s">
        <v>428</v>
      </c>
      <c r="D1890" s="34">
        <f t="shared" si="132"/>
        <v>8.3371858795373</v>
      </c>
      <c r="E1890" s="251">
        <v>3.3534</v>
      </c>
      <c r="F1890" s="34">
        <f t="shared" si="133"/>
        <v>27.9579191284404</v>
      </c>
    </row>
    <row r="1891" ht="14.85" customHeight="1" spans="1:6">
      <c r="A1891" s="7"/>
      <c r="B1891" s="7" t="s">
        <v>1008</v>
      </c>
      <c r="C1891" s="7" t="s">
        <v>428</v>
      </c>
      <c r="D1891" s="34">
        <f t="shared" si="132"/>
        <v>23.9179521340247</v>
      </c>
      <c r="E1891" s="34">
        <v>18.54</v>
      </c>
      <c r="F1891" s="34">
        <f t="shared" si="133"/>
        <v>443.438832564818</v>
      </c>
    </row>
    <row r="1892" ht="14.85" customHeight="1" spans="1:6">
      <c r="A1892" s="7"/>
      <c r="B1892" s="7" t="s">
        <v>1021</v>
      </c>
      <c r="C1892" s="7" t="s">
        <v>428</v>
      </c>
      <c r="D1892" s="34">
        <f t="shared" si="132"/>
        <v>2.41252772237734</v>
      </c>
      <c r="E1892" s="254">
        <v>40.05</v>
      </c>
      <c r="F1892" s="34">
        <f t="shared" si="133"/>
        <v>96.6217352812126</v>
      </c>
    </row>
    <row r="1893" ht="14.85" customHeight="1" spans="1:6">
      <c r="A1893" s="7"/>
      <c r="B1893" s="7" t="s">
        <v>967</v>
      </c>
      <c r="C1893" s="7" t="s">
        <v>428</v>
      </c>
      <c r="D1893" s="34">
        <f t="shared" si="132"/>
        <v>0.813242919824491</v>
      </c>
      <c r="E1893" s="34">
        <v>83</v>
      </c>
      <c r="F1893" s="34">
        <f t="shared" si="133"/>
        <v>67.4991623454328</v>
      </c>
    </row>
    <row r="1894" ht="14.85" customHeight="1" spans="1:6">
      <c r="A1894" s="7"/>
      <c r="B1894" s="7" t="s">
        <v>918</v>
      </c>
      <c r="C1894" s="9" t="s">
        <v>845</v>
      </c>
      <c r="D1894" s="34">
        <f t="shared" si="132"/>
        <v>731.478651153969</v>
      </c>
      <c r="E1894" s="34">
        <v>5</v>
      </c>
      <c r="F1894" s="34">
        <f>D1894*E1894/100</f>
        <v>36.5739325576984</v>
      </c>
    </row>
    <row r="1895" ht="14.85" customHeight="1" spans="1:6">
      <c r="A1895" s="5">
        <v>4</v>
      </c>
      <c r="B1895" s="5" t="s">
        <v>1010</v>
      </c>
      <c r="C1895" s="275"/>
      <c r="D1895" s="276"/>
      <c r="E1895" s="276"/>
      <c r="F1895" s="276">
        <f>SUM(F1896:F1897)</f>
        <v>1991.65619138815</v>
      </c>
    </row>
    <row r="1896" ht="14.85" customHeight="1" spans="1:6">
      <c r="A1896" s="7"/>
      <c r="B1896" s="123" t="s">
        <v>681</v>
      </c>
      <c r="C1896" s="123" t="s">
        <v>169</v>
      </c>
      <c r="D1896" s="274">
        <f>$F$2795/100</f>
        <v>5.03319379720782</v>
      </c>
      <c r="E1896" s="274">
        <v>103</v>
      </c>
      <c r="F1896" s="34">
        <f>D1896*E1896</f>
        <v>518.418961112405</v>
      </c>
    </row>
    <row r="1897" ht="14.85" customHeight="1" spans="1:6">
      <c r="A1897" s="7"/>
      <c r="B1897" s="123" t="s">
        <v>682</v>
      </c>
      <c r="C1897" s="123" t="s">
        <v>169</v>
      </c>
      <c r="D1897" s="274">
        <f>$F$2813/100</f>
        <v>14.303274080347</v>
      </c>
      <c r="E1897" s="274">
        <v>103</v>
      </c>
      <c r="F1897" s="34">
        <f>D1897*E1897</f>
        <v>1473.23723027574</v>
      </c>
    </row>
    <row r="1898" ht="14.85" customHeight="1" spans="1:6">
      <c r="A1898" s="7" t="s">
        <v>564</v>
      </c>
      <c r="B1898" s="7" t="s">
        <v>846</v>
      </c>
      <c r="C1898" s="230">
        <f>取费表!$C$7</f>
        <v>0.048</v>
      </c>
      <c r="D1898" s="274"/>
      <c r="E1898" s="274">
        <f>F1873</f>
        <v>35200.4791052673</v>
      </c>
      <c r="F1898" s="34">
        <f>E1898*C1898</f>
        <v>1689.62299705283</v>
      </c>
    </row>
    <row r="1899" ht="14.85" customHeight="1" spans="1:6">
      <c r="A1899" s="7"/>
      <c r="B1899" s="7"/>
      <c r="C1899" s="230"/>
      <c r="D1899" s="274"/>
      <c r="E1899" s="274"/>
      <c r="F1899" s="34"/>
    </row>
    <row r="1900" ht="14.85" customHeight="1" spans="1:6">
      <c r="A1900" s="7" t="s">
        <v>439</v>
      </c>
      <c r="B1900" s="7" t="s">
        <v>847</v>
      </c>
      <c r="C1900" s="230">
        <f>取费表!$E$7</f>
        <v>0.07</v>
      </c>
      <c r="D1900" s="274"/>
      <c r="E1900" s="274">
        <f>F1872</f>
        <v>36890.1021023202</v>
      </c>
      <c r="F1900" s="34">
        <f>E1900*C1900</f>
        <v>2582.30714716241</v>
      </c>
    </row>
    <row r="1901" ht="14.85" customHeight="1" spans="1:6">
      <c r="A1901" s="7" t="s">
        <v>83</v>
      </c>
      <c r="B1901" s="7" t="s">
        <v>848</v>
      </c>
      <c r="C1901" s="230">
        <f>取费表!$F$7</f>
        <v>0.07</v>
      </c>
      <c r="D1901" s="274"/>
      <c r="E1901" s="274">
        <f>F1900+F1872</f>
        <v>39472.4092494826</v>
      </c>
      <c r="F1901" s="34">
        <f>E1901*C1901</f>
        <v>2763.06864746378</v>
      </c>
    </row>
    <row r="1902" ht="14.85" customHeight="1" spans="1:6">
      <c r="A1902" s="5" t="s">
        <v>121</v>
      </c>
      <c r="B1902" s="5" t="s">
        <v>861</v>
      </c>
      <c r="C1902" s="275"/>
      <c r="D1902" s="276"/>
      <c r="E1902" s="5"/>
      <c r="F1902" s="277">
        <f>F1903+F1908</f>
        <v>14362.8408886043</v>
      </c>
    </row>
    <row r="1903" ht="14.85" customHeight="1" spans="1:6">
      <c r="A1903" s="7">
        <v>1</v>
      </c>
      <c r="B1903" s="7" t="s">
        <v>1011</v>
      </c>
      <c r="C1903" s="9"/>
      <c r="D1903" s="34"/>
      <c r="E1903" s="7"/>
      <c r="F1903" s="69">
        <f>SUM(F1904:F1907)</f>
        <v>14286.7719466043</v>
      </c>
    </row>
    <row r="1904" ht="14.85" customHeight="1" spans="1:6">
      <c r="A1904" s="7"/>
      <c r="B1904" s="7"/>
      <c r="C1904" s="7"/>
      <c r="D1904" s="34"/>
      <c r="E1904" s="34"/>
      <c r="F1904" s="69"/>
    </row>
    <row r="1905" ht="14.85" customHeight="1" spans="1:6">
      <c r="A1905" s="7"/>
      <c r="B1905" s="7" t="s">
        <v>983</v>
      </c>
      <c r="C1905" s="7" t="s">
        <v>200</v>
      </c>
      <c r="D1905" s="34">
        <f>材料预算价!K6-材料预算价!L6</f>
        <v>265.23946</v>
      </c>
      <c r="E1905" s="34">
        <f>E1884*配合比!E11</f>
        <v>37.58161</v>
      </c>
      <c r="F1905" s="69">
        <f>D1905*E1905</f>
        <v>9968.1259423306</v>
      </c>
    </row>
    <row r="1906" ht="14.85" customHeight="1" spans="1:6">
      <c r="A1906" s="7"/>
      <c r="B1906" s="7" t="s">
        <v>961</v>
      </c>
      <c r="C1906" s="7" t="s">
        <v>169</v>
      </c>
      <c r="D1906" s="34">
        <f>D1765</f>
        <v>34.366056</v>
      </c>
      <c r="E1906" s="34">
        <f>E1884*配合比!G11</f>
        <v>52.18598</v>
      </c>
      <c r="F1906" s="69">
        <f>D1906*E1906</f>
        <v>1793.42631109488</v>
      </c>
    </row>
    <row r="1907" ht="14.85" customHeight="1" spans="1:6">
      <c r="A1907" s="7"/>
      <c r="B1907" s="7" t="s">
        <v>1012</v>
      </c>
      <c r="C1907" s="7" t="s">
        <v>169</v>
      </c>
      <c r="D1907" s="34">
        <f>D1766</f>
        <v>29.13701</v>
      </c>
      <c r="E1907" s="34">
        <f>E1884*配合比!I11</f>
        <v>86.667084</v>
      </c>
      <c r="F1907" s="69">
        <f>D1907*E1907</f>
        <v>2525.21969317884</v>
      </c>
    </row>
    <row r="1908" ht="14.85" customHeight="1" spans="1:6">
      <c r="A1908" s="7">
        <v>2</v>
      </c>
      <c r="B1908" s="7" t="s">
        <v>1013</v>
      </c>
      <c r="C1908" s="7"/>
      <c r="D1908" s="34"/>
      <c r="E1908" s="38"/>
      <c r="F1908" s="69">
        <f>SUM(F1909:F1910)</f>
        <v>76.068942</v>
      </c>
    </row>
    <row r="1909" ht="14.85" customHeight="1" spans="1:6">
      <c r="A1909" s="7"/>
      <c r="B1909" s="7" t="s">
        <v>1014</v>
      </c>
      <c r="C1909" s="7" t="s">
        <v>863</v>
      </c>
      <c r="D1909" s="34">
        <f>D1768</f>
        <v>5.925</v>
      </c>
      <c r="E1909" s="38">
        <f>(E1888*7.2+E1889*5.8)</f>
        <v>12.83864</v>
      </c>
      <c r="F1909" s="69">
        <f>D1909*E1909</f>
        <v>76.068942</v>
      </c>
    </row>
    <row r="1910" ht="14.85" customHeight="1" spans="1:6">
      <c r="A1910" s="7"/>
      <c r="B1910" s="7" t="s">
        <v>862</v>
      </c>
      <c r="C1910" s="7" t="s">
        <v>863</v>
      </c>
      <c r="D1910" s="34">
        <f>D1769</f>
        <v>4.58</v>
      </c>
      <c r="E1910" s="38"/>
      <c r="F1910" s="69">
        <f>D1910*E1910</f>
        <v>0</v>
      </c>
    </row>
    <row r="1911" ht="14.85" customHeight="1" spans="1:6">
      <c r="A1911" s="7" t="s">
        <v>135</v>
      </c>
      <c r="B1911" s="7" t="s">
        <v>849</v>
      </c>
      <c r="C1911" s="231">
        <f>C1770</f>
        <v>0.09</v>
      </c>
      <c r="D1911" s="34"/>
      <c r="E1911" s="34">
        <f>F1902+F1901+F1900+F1872</f>
        <v>56598.3187855507</v>
      </c>
      <c r="F1911" s="34">
        <f>E1911*C1911</f>
        <v>5093.84869069956</v>
      </c>
    </row>
    <row r="1912" ht="14.85" customHeight="1" spans="1:6">
      <c r="A1912" s="7"/>
      <c r="B1912" s="7" t="s">
        <v>850</v>
      </c>
      <c r="C1912" s="231"/>
      <c r="D1912" s="34"/>
      <c r="E1912" s="34"/>
      <c r="F1912" s="34">
        <f>(F1872+F1900+F1901+F1902+F1911)*取费表!H7</f>
        <v>1850.76502428751</v>
      </c>
    </row>
    <row r="1913" ht="14.85" customHeight="1" spans="1:6">
      <c r="A1913" s="7"/>
      <c r="B1913" s="7" t="s">
        <v>156</v>
      </c>
      <c r="C1913" s="7"/>
      <c r="D1913" s="34"/>
      <c r="E1913" s="34"/>
      <c r="F1913" s="34">
        <f>F1911+E1911+F1912</f>
        <v>63542.9325005378</v>
      </c>
    </row>
    <row r="1914" ht="14.85" customHeight="1" spans="1:6">
      <c r="A1914" s="236" t="s">
        <v>828</v>
      </c>
      <c r="B1914" s="236"/>
      <c r="C1914" s="236"/>
      <c r="D1914" s="236"/>
      <c r="E1914" s="236"/>
      <c r="F1914" s="236"/>
    </row>
    <row r="1915" ht="14.85" customHeight="1" spans="1:6">
      <c r="A1915" s="278" t="s">
        <v>1055</v>
      </c>
      <c r="B1915" s="272"/>
      <c r="C1915" s="272"/>
      <c r="D1915" s="272"/>
      <c r="E1915" s="272"/>
      <c r="F1915" s="272"/>
    </row>
    <row r="1916" ht="14.85" customHeight="1" spans="1:6">
      <c r="A1916" s="228" t="s">
        <v>1046</v>
      </c>
      <c r="B1916" s="228"/>
      <c r="C1916" s="229"/>
      <c r="D1916" s="229"/>
      <c r="E1916" s="228" t="s">
        <v>832</v>
      </c>
      <c r="F1916" s="228"/>
    </row>
    <row r="1917" ht="14.85" customHeight="1" spans="1:6">
      <c r="A1917" s="146" t="s">
        <v>1047</v>
      </c>
      <c r="B1917" s="233"/>
      <c r="C1917" s="233"/>
      <c r="D1917" s="233"/>
      <c r="E1917" s="233"/>
      <c r="F1917" s="147"/>
    </row>
    <row r="1918" ht="14.85" customHeight="1" spans="1:6">
      <c r="A1918" s="7" t="s">
        <v>104</v>
      </c>
      <c r="B1918" s="7" t="s">
        <v>835</v>
      </c>
      <c r="C1918" s="7" t="s">
        <v>159</v>
      </c>
      <c r="D1918" s="7" t="s">
        <v>422</v>
      </c>
      <c r="E1918" s="7" t="s">
        <v>160</v>
      </c>
      <c r="F1918" s="7" t="s">
        <v>18</v>
      </c>
    </row>
    <row r="1919" ht="14.85" customHeight="1" spans="1:6">
      <c r="A1919" s="7" t="s">
        <v>836</v>
      </c>
      <c r="B1919" s="7" t="s">
        <v>837</v>
      </c>
      <c r="C1919" s="7"/>
      <c r="D1919" s="7"/>
      <c r="E1919" s="279"/>
      <c r="F1919" s="34">
        <f>F1920+F1945+F1946</f>
        <v>39059.8925799005</v>
      </c>
    </row>
    <row r="1920" ht="14.85" customHeight="1" spans="1:6">
      <c r="A1920" s="7" t="s">
        <v>539</v>
      </c>
      <c r="B1920" s="7" t="s">
        <v>838</v>
      </c>
      <c r="C1920" s="7"/>
      <c r="D1920" s="7"/>
      <c r="E1920" s="279"/>
      <c r="F1920" s="247">
        <f>F1921+F1924+F1934+F1942</f>
        <v>37270.8898663173</v>
      </c>
    </row>
    <row r="1921" ht="14.85" customHeight="1" spans="1:6">
      <c r="A1921" s="7">
        <v>1</v>
      </c>
      <c r="B1921" s="7" t="s">
        <v>839</v>
      </c>
      <c r="C1921" s="7" t="s">
        <v>840</v>
      </c>
      <c r="D1921" s="34"/>
      <c r="E1921" s="280">
        <f>SUM(E1922:E1923)</f>
        <v>1486.1</v>
      </c>
      <c r="F1921" s="69">
        <f>SUM(F1922:F1923)</f>
        <v>10790.86</v>
      </c>
    </row>
    <row r="1922" ht="14.85" customHeight="1" spans="1:6">
      <c r="A1922" s="7"/>
      <c r="B1922" s="7" t="s">
        <v>841</v>
      </c>
      <c r="C1922" s="7" t="s">
        <v>840</v>
      </c>
      <c r="D1922" s="69">
        <f>D1781</f>
        <v>8.1</v>
      </c>
      <c r="E1922" s="281">
        <v>951.1</v>
      </c>
      <c r="F1922" s="69">
        <f>D1922*E1922</f>
        <v>7703.91</v>
      </c>
    </row>
    <row r="1923" ht="14.85" customHeight="1" spans="1:6">
      <c r="A1923" s="7"/>
      <c r="B1923" s="7" t="s">
        <v>842</v>
      </c>
      <c r="C1923" s="7" t="s">
        <v>840</v>
      </c>
      <c r="D1923" s="69">
        <f>D1782</f>
        <v>5.77</v>
      </c>
      <c r="E1923" s="281">
        <v>535</v>
      </c>
      <c r="F1923" s="69">
        <f>D1923*E1923</f>
        <v>3086.95</v>
      </c>
    </row>
    <row r="1924" ht="14.85" customHeight="1" spans="1:6">
      <c r="A1924" s="7">
        <v>2</v>
      </c>
      <c r="B1924" s="7" t="s">
        <v>912</v>
      </c>
      <c r="C1924" s="7"/>
      <c r="D1924" s="34"/>
      <c r="E1924" s="34"/>
      <c r="F1924" s="34">
        <f>SUM(F1925:F1933)</f>
        <v>23720.3210912175</v>
      </c>
    </row>
    <row r="1925" ht="14.85" customHeight="1" spans="1:6">
      <c r="A1925" s="7"/>
      <c r="B1925" s="273" t="s">
        <v>996</v>
      </c>
      <c r="C1925" s="273" t="s">
        <v>169</v>
      </c>
      <c r="D1925" s="34">
        <f t="shared" ref="D1925:D1930" si="134">D1784</f>
        <v>2238.008025</v>
      </c>
      <c r="E1925" s="34">
        <v>0.4</v>
      </c>
      <c r="F1925" s="34">
        <f t="shared" ref="F1925:F1932" si="135">D1925*E1925</f>
        <v>895.20321</v>
      </c>
    </row>
    <row r="1926" ht="14.85" customHeight="1" spans="1:6">
      <c r="A1926" s="7"/>
      <c r="B1926" s="273" t="s">
        <v>997</v>
      </c>
      <c r="C1926" s="273" t="s">
        <v>863</v>
      </c>
      <c r="D1926" s="34">
        <f t="shared" si="134"/>
        <v>4.44</v>
      </c>
      <c r="E1926" s="34">
        <v>52.08</v>
      </c>
      <c r="F1926" s="34">
        <f t="shared" si="135"/>
        <v>231.2352</v>
      </c>
    </row>
    <row r="1927" ht="14.85" customHeight="1" spans="1:6">
      <c r="A1927" s="7"/>
      <c r="B1927" s="273" t="s">
        <v>998</v>
      </c>
      <c r="C1927" s="273" t="s">
        <v>863</v>
      </c>
      <c r="D1927" s="34">
        <f t="shared" si="134"/>
        <v>4.5</v>
      </c>
      <c r="E1927" s="34">
        <v>42.2</v>
      </c>
      <c r="F1927" s="34">
        <f t="shared" si="135"/>
        <v>189.9</v>
      </c>
    </row>
    <row r="1928" ht="14.85" customHeight="1" spans="1:6">
      <c r="A1928" s="7"/>
      <c r="B1928" s="273" t="s">
        <v>999</v>
      </c>
      <c r="C1928" s="273" t="s">
        <v>863</v>
      </c>
      <c r="D1928" s="34">
        <f t="shared" si="134"/>
        <v>5.15</v>
      </c>
      <c r="E1928" s="34">
        <v>22.32</v>
      </c>
      <c r="F1928" s="34">
        <f t="shared" si="135"/>
        <v>114.948</v>
      </c>
    </row>
    <row r="1929" ht="14.85" customHeight="1" spans="1:6">
      <c r="A1929" s="7"/>
      <c r="B1929" s="273" t="s">
        <v>1000</v>
      </c>
      <c r="C1929" s="273" t="s">
        <v>863</v>
      </c>
      <c r="D1929" s="34">
        <f t="shared" si="134"/>
        <v>4.5</v>
      </c>
      <c r="E1929" s="34">
        <v>67.3</v>
      </c>
      <c r="F1929" s="34">
        <f t="shared" si="135"/>
        <v>302.85</v>
      </c>
    </row>
    <row r="1930" ht="14.85" customHeight="1" spans="1:6">
      <c r="A1930" s="7"/>
      <c r="B1930" s="273" t="s">
        <v>1002</v>
      </c>
      <c r="C1930" s="273" t="s">
        <v>863</v>
      </c>
      <c r="D1930" s="34">
        <f t="shared" si="134"/>
        <v>5.97</v>
      </c>
      <c r="E1930" s="34">
        <v>1.5</v>
      </c>
      <c r="F1930" s="34">
        <f t="shared" si="135"/>
        <v>8.955</v>
      </c>
    </row>
    <row r="1931" ht="14.85" customHeight="1" spans="1:6">
      <c r="A1931" s="7"/>
      <c r="B1931" s="7" t="s">
        <v>1056</v>
      </c>
      <c r="C1931" s="7" t="s">
        <v>169</v>
      </c>
      <c r="D1931" s="34">
        <f>配合比!M12</f>
        <v>208.0428945</v>
      </c>
      <c r="E1931" s="34">
        <v>103</v>
      </c>
      <c r="F1931" s="34">
        <f t="shared" si="135"/>
        <v>21428.4181335</v>
      </c>
    </row>
    <row r="1932" ht="14.85" customHeight="1" spans="1:6">
      <c r="A1932" s="7"/>
      <c r="B1932" s="7" t="s">
        <v>913</v>
      </c>
      <c r="C1932" s="7" t="s">
        <v>169</v>
      </c>
      <c r="D1932" s="34">
        <f>D1791</f>
        <v>3.59</v>
      </c>
      <c r="E1932" s="34">
        <v>120</v>
      </c>
      <c r="F1932" s="34">
        <f t="shared" si="135"/>
        <v>430.8</v>
      </c>
    </row>
    <row r="1933" ht="14.85" customHeight="1" spans="1:6">
      <c r="A1933" s="7"/>
      <c r="B1933" s="7" t="s">
        <v>1004</v>
      </c>
      <c r="C1933" s="9" t="s">
        <v>845</v>
      </c>
      <c r="D1933" s="34">
        <f>F1925+F1926+F1927+F1928+F1929+F1930+F1931++F1932</f>
        <v>23602.3095435</v>
      </c>
      <c r="E1933" s="34">
        <v>0.5</v>
      </c>
      <c r="F1933" s="34">
        <f>D1933*E1933/100</f>
        <v>118.0115477175</v>
      </c>
    </row>
    <row r="1934" ht="14.85" customHeight="1" spans="1:6">
      <c r="A1934" s="7">
        <v>3</v>
      </c>
      <c r="B1934" s="7" t="s">
        <v>859</v>
      </c>
      <c r="C1934" s="7"/>
      <c r="D1934" s="34"/>
      <c r="E1934" s="34"/>
      <c r="F1934" s="34">
        <f>SUM(F1935:F1941)</f>
        <v>768.052583711667</v>
      </c>
    </row>
    <row r="1935" ht="14.85" customHeight="1" spans="1:6">
      <c r="A1935" s="7"/>
      <c r="B1935" s="7" t="s">
        <v>1005</v>
      </c>
      <c r="C1935" s="7" t="s">
        <v>428</v>
      </c>
      <c r="D1935" s="34">
        <f t="shared" ref="D1935:D1941" si="136">D1794</f>
        <v>49.389824491424</v>
      </c>
      <c r="E1935" s="34">
        <v>1.5012</v>
      </c>
      <c r="F1935" s="34">
        <f t="shared" ref="F1935:F1940" si="137">D1935*E1935</f>
        <v>74.1440045265257</v>
      </c>
    </row>
    <row r="1936" ht="14.85" customHeight="1" spans="1:6">
      <c r="A1936" s="7"/>
      <c r="B1936" s="7" t="s">
        <v>1006</v>
      </c>
      <c r="C1936" s="7" t="s">
        <v>428</v>
      </c>
      <c r="D1936" s="34">
        <f t="shared" si="136"/>
        <v>62.3342780215397</v>
      </c>
      <c r="E1936" s="34">
        <v>0.35</v>
      </c>
      <c r="F1936" s="34">
        <f t="shared" si="137"/>
        <v>21.8169973075389</v>
      </c>
    </row>
    <row r="1937" ht="14.85" customHeight="1" spans="1:6">
      <c r="A1937" s="7"/>
      <c r="B1937" s="7" t="s">
        <v>1007</v>
      </c>
      <c r="C1937" s="7" t="s">
        <v>428</v>
      </c>
      <c r="D1937" s="34">
        <f t="shared" si="136"/>
        <v>8.3371858795373</v>
      </c>
      <c r="E1937" s="251">
        <v>3.3534</v>
      </c>
      <c r="F1937" s="34">
        <f t="shared" si="137"/>
        <v>27.9579191284404</v>
      </c>
    </row>
    <row r="1938" ht="14.85" customHeight="1" spans="1:6">
      <c r="A1938" s="7"/>
      <c r="B1938" s="7" t="s">
        <v>1008</v>
      </c>
      <c r="C1938" s="7" t="s">
        <v>428</v>
      </c>
      <c r="D1938" s="34">
        <f t="shared" si="136"/>
        <v>23.9179521340247</v>
      </c>
      <c r="E1938" s="34">
        <v>18.54</v>
      </c>
      <c r="F1938" s="34">
        <f t="shared" si="137"/>
        <v>443.438832564818</v>
      </c>
    </row>
    <row r="1939" ht="14.85" customHeight="1" spans="1:6">
      <c r="A1939" s="7"/>
      <c r="B1939" s="7" t="s">
        <v>1021</v>
      </c>
      <c r="C1939" s="7" t="s">
        <v>428</v>
      </c>
      <c r="D1939" s="34">
        <f t="shared" si="136"/>
        <v>2.41252772237734</v>
      </c>
      <c r="E1939" s="254">
        <v>40.05</v>
      </c>
      <c r="F1939" s="34">
        <f t="shared" si="137"/>
        <v>96.6217352812126</v>
      </c>
    </row>
    <row r="1940" ht="14.85" customHeight="1" spans="1:6">
      <c r="A1940" s="7"/>
      <c r="B1940" s="7" t="s">
        <v>967</v>
      </c>
      <c r="C1940" s="7" t="s">
        <v>428</v>
      </c>
      <c r="D1940" s="34">
        <f t="shared" si="136"/>
        <v>0.813242919824491</v>
      </c>
      <c r="E1940" s="34">
        <v>83</v>
      </c>
      <c r="F1940" s="34">
        <f t="shared" si="137"/>
        <v>67.4991623454328</v>
      </c>
    </row>
    <row r="1941" ht="14.85" customHeight="1" spans="1:6">
      <c r="A1941" s="7"/>
      <c r="B1941" s="7" t="s">
        <v>918</v>
      </c>
      <c r="C1941" s="9" t="s">
        <v>845</v>
      </c>
      <c r="D1941" s="34">
        <f t="shared" si="136"/>
        <v>731.478651153969</v>
      </c>
      <c r="E1941" s="34">
        <v>5</v>
      </c>
      <c r="F1941" s="34">
        <f>D1941*E1941/100</f>
        <v>36.5739325576984</v>
      </c>
    </row>
    <row r="1942" ht="14.85" customHeight="1" spans="1:6">
      <c r="A1942" s="5">
        <v>4</v>
      </c>
      <c r="B1942" s="5" t="s">
        <v>1010</v>
      </c>
      <c r="C1942" s="275"/>
      <c r="D1942" s="276"/>
      <c r="E1942" s="276"/>
      <c r="F1942" s="276">
        <f>SUM(F1943:F1944)</f>
        <v>1991.65619138815</v>
      </c>
    </row>
    <row r="1943" ht="14.85" customHeight="1" spans="1:6">
      <c r="A1943" s="7"/>
      <c r="B1943" s="123" t="s">
        <v>681</v>
      </c>
      <c r="C1943" s="123" t="s">
        <v>169</v>
      </c>
      <c r="D1943" s="274">
        <f>$F$2795/100</f>
        <v>5.03319379720782</v>
      </c>
      <c r="E1943" s="274">
        <v>103</v>
      </c>
      <c r="F1943" s="34">
        <f>D1943*E1943</f>
        <v>518.418961112405</v>
      </c>
    </row>
    <row r="1944" ht="14.85" customHeight="1" spans="1:6">
      <c r="A1944" s="7"/>
      <c r="B1944" s="123" t="s">
        <v>682</v>
      </c>
      <c r="C1944" s="123" t="s">
        <v>169</v>
      </c>
      <c r="D1944" s="274">
        <f>$F$2813/100</f>
        <v>14.303274080347</v>
      </c>
      <c r="E1944" s="274">
        <v>103</v>
      </c>
      <c r="F1944" s="34">
        <f>D1944*E1944</f>
        <v>1473.23723027574</v>
      </c>
    </row>
    <row r="1945" ht="14.85" customHeight="1" spans="1:6">
      <c r="A1945" s="7" t="s">
        <v>564</v>
      </c>
      <c r="B1945" s="7" t="s">
        <v>846</v>
      </c>
      <c r="C1945" s="230">
        <f>取费表!$C$7</f>
        <v>0.048</v>
      </c>
      <c r="D1945" s="274"/>
      <c r="E1945" s="274">
        <f>F1920</f>
        <v>37270.8898663173</v>
      </c>
      <c r="F1945" s="34">
        <f>E1945*C1945</f>
        <v>1789.00271358323</v>
      </c>
    </row>
    <row r="1946" ht="14.85" customHeight="1" spans="1:6">
      <c r="A1946" s="7"/>
      <c r="B1946" s="7"/>
      <c r="C1946" s="230"/>
      <c r="D1946" s="274"/>
      <c r="E1946" s="274"/>
      <c r="F1946" s="34"/>
    </row>
    <row r="1947" ht="14.85" customHeight="1" spans="1:6">
      <c r="A1947" s="7" t="s">
        <v>439</v>
      </c>
      <c r="B1947" s="7" t="s">
        <v>847</v>
      </c>
      <c r="C1947" s="230">
        <f>取费表!$E$7</f>
        <v>0.07</v>
      </c>
      <c r="D1947" s="274"/>
      <c r="E1947" s="274">
        <f>F1919</f>
        <v>39059.8925799005</v>
      </c>
      <c r="F1947" s="34">
        <f>E1947*C1947</f>
        <v>2734.19248059304</v>
      </c>
    </row>
    <row r="1948" ht="14.85" customHeight="1" spans="1:6">
      <c r="A1948" s="7" t="s">
        <v>83</v>
      </c>
      <c r="B1948" s="7" t="s">
        <v>848</v>
      </c>
      <c r="C1948" s="230">
        <f>取费表!$F$7</f>
        <v>0.07</v>
      </c>
      <c r="D1948" s="274"/>
      <c r="E1948" s="274">
        <f>F1947+F1919</f>
        <v>41794.0850604936</v>
      </c>
      <c r="F1948" s="34">
        <f>E1948*C1948</f>
        <v>2925.58595423455</v>
      </c>
    </row>
    <row r="1949" ht="14.85" customHeight="1" spans="1:6">
      <c r="A1949" s="5" t="s">
        <v>121</v>
      </c>
      <c r="B1949" s="5" t="s">
        <v>861</v>
      </c>
      <c r="C1949" s="275"/>
      <c r="D1949" s="276"/>
      <c r="E1949" s="5"/>
      <c r="F1949" s="277">
        <f>F1950+F1955</f>
        <v>10885.5734017488</v>
      </c>
    </row>
    <row r="1950" ht="14.85" customHeight="1" spans="1:6">
      <c r="A1950" s="7">
        <v>1</v>
      </c>
      <c r="B1950" s="7" t="s">
        <v>1011</v>
      </c>
      <c r="C1950" s="9"/>
      <c r="D1950" s="34"/>
      <c r="E1950" s="7"/>
      <c r="F1950" s="69">
        <f>SUM(F1951:F1954)</f>
        <v>10809.5044597488</v>
      </c>
    </row>
    <row r="1951" ht="14.85" customHeight="1" spans="1:6">
      <c r="A1951" s="7"/>
      <c r="B1951" s="7"/>
      <c r="C1951" s="7"/>
      <c r="D1951" s="34"/>
      <c r="E1951" s="34"/>
      <c r="F1951" s="69"/>
    </row>
    <row r="1952" ht="14.85" customHeight="1" spans="1:6">
      <c r="A1952" s="7"/>
      <c r="B1952" s="7" t="s">
        <v>979</v>
      </c>
      <c r="C1952" s="7" t="s">
        <v>200</v>
      </c>
      <c r="D1952" s="34">
        <f>材料预算价!K5-材料预算价!L5</f>
        <v>141.58936</v>
      </c>
      <c r="E1952" s="34">
        <f>E1931*配合比!E12</f>
        <v>46.552704</v>
      </c>
      <c r="F1952" s="69">
        <f>D1952*E1952</f>
        <v>6591.36756562944</v>
      </c>
    </row>
    <row r="1953" ht="14.85" customHeight="1" spans="1:6">
      <c r="A1953" s="7"/>
      <c r="B1953" s="7" t="s">
        <v>961</v>
      </c>
      <c r="C1953" s="7" t="s">
        <v>169</v>
      </c>
      <c r="D1953" s="34">
        <f>D1812</f>
        <v>34.366056</v>
      </c>
      <c r="E1953" s="34">
        <f>E1931*配合比!G12</f>
        <v>51.07564</v>
      </c>
      <c r="F1953" s="69">
        <f>D1953*E1953</f>
        <v>1755.26830447584</v>
      </c>
    </row>
    <row r="1954" ht="14.85" customHeight="1" spans="1:6">
      <c r="A1954" s="7"/>
      <c r="B1954" s="7" t="s">
        <v>1012</v>
      </c>
      <c r="C1954" s="7" t="s">
        <v>169</v>
      </c>
      <c r="D1954" s="34">
        <f>D1907</f>
        <v>29.13701</v>
      </c>
      <c r="E1954" s="34">
        <f>E1931*配合比!I12</f>
        <v>84.527156</v>
      </c>
      <c r="F1954" s="69">
        <f>D1954*E1954</f>
        <v>2462.86858964356</v>
      </c>
    </row>
    <row r="1955" ht="14.25" customHeight="1" spans="1:6">
      <c r="A1955" s="7">
        <v>2</v>
      </c>
      <c r="B1955" s="7" t="s">
        <v>1013</v>
      </c>
      <c r="C1955" s="7"/>
      <c r="D1955" s="34"/>
      <c r="E1955" s="38"/>
      <c r="F1955" s="69">
        <f>SUM(F1956:F1957)</f>
        <v>76.068942</v>
      </c>
    </row>
    <row r="1956" ht="14.85" customHeight="1" spans="1:6">
      <c r="A1956" s="7"/>
      <c r="B1956" s="7" t="s">
        <v>1014</v>
      </c>
      <c r="C1956" s="7" t="s">
        <v>863</v>
      </c>
      <c r="D1956" s="34">
        <f>D1815</f>
        <v>5.925</v>
      </c>
      <c r="E1956" s="38">
        <f>(E1935*7.2+E1936*5.8)</f>
        <v>12.83864</v>
      </c>
      <c r="F1956" s="69">
        <f>D1956*E1956</f>
        <v>76.068942</v>
      </c>
    </row>
    <row r="1957" ht="14.85" customHeight="1" spans="1:6">
      <c r="A1957" s="7"/>
      <c r="B1957" s="7" t="s">
        <v>862</v>
      </c>
      <c r="C1957" s="7" t="s">
        <v>863</v>
      </c>
      <c r="D1957" s="34">
        <f>D1816</f>
        <v>4.58</v>
      </c>
      <c r="E1957" s="38"/>
      <c r="F1957" s="69">
        <f>D1957*E1957</f>
        <v>0</v>
      </c>
    </row>
    <row r="1958" ht="14.85" customHeight="1" spans="1:6">
      <c r="A1958" s="7" t="s">
        <v>135</v>
      </c>
      <c r="B1958" s="7" t="s">
        <v>849</v>
      </c>
      <c r="C1958" s="231">
        <f>C1817</f>
        <v>0.09</v>
      </c>
      <c r="D1958" s="34"/>
      <c r="E1958" s="34">
        <f>F1949+F1948+F1947+F1919</f>
        <v>55605.2444164769</v>
      </c>
      <c r="F1958" s="34">
        <f>E1958*C1958</f>
        <v>5004.47199748292</v>
      </c>
    </row>
    <row r="1959" ht="14.85" customHeight="1" spans="1:6">
      <c r="A1959" s="7"/>
      <c r="B1959" s="7" t="s">
        <v>850</v>
      </c>
      <c r="C1959" s="231"/>
      <c r="D1959" s="34"/>
      <c r="E1959" s="34"/>
      <c r="F1959" s="34">
        <f>(F1919+F1947+F1948+F1949+F1958)*取费表!H7</f>
        <v>1818.29149241879</v>
      </c>
    </row>
    <row r="1960" ht="14.85" customHeight="1" spans="1:6">
      <c r="A1960" s="7"/>
      <c r="B1960" s="7" t="s">
        <v>156</v>
      </c>
      <c r="C1960" s="7"/>
      <c r="D1960" s="34"/>
      <c r="E1960" s="34"/>
      <c r="F1960" s="34">
        <f>F1958+E1958+F1959</f>
        <v>62428.0079063786</v>
      </c>
    </row>
    <row r="1961" ht="14.85" customHeight="1" spans="1:6">
      <c r="A1961" s="236" t="s">
        <v>828</v>
      </c>
      <c r="B1961" s="236"/>
      <c r="C1961" s="236"/>
      <c r="D1961" s="236"/>
      <c r="E1961" s="236"/>
      <c r="F1961" s="236"/>
    </row>
    <row r="1962" ht="15.6" customHeight="1" spans="1:6">
      <c r="A1962" s="278" t="s">
        <v>1057</v>
      </c>
      <c r="B1962" s="272"/>
      <c r="C1962" s="272"/>
      <c r="D1962" s="272"/>
      <c r="E1962" s="272"/>
      <c r="F1962" s="272"/>
    </row>
    <row r="1963" ht="15.6" customHeight="1" spans="1:6">
      <c r="A1963" s="227" t="s">
        <v>1058</v>
      </c>
      <c r="B1963" s="228"/>
      <c r="C1963" s="272"/>
      <c r="D1963" s="272"/>
      <c r="E1963" s="228" t="s">
        <v>832</v>
      </c>
      <c r="F1963" s="228"/>
    </row>
    <row r="1964" ht="15.6" customHeight="1" spans="1:6">
      <c r="A1964" s="232" t="s">
        <v>911</v>
      </c>
      <c r="B1964" s="233"/>
      <c r="C1964" s="234"/>
      <c r="D1964" s="234"/>
      <c r="E1964" s="234"/>
      <c r="F1964" s="235"/>
    </row>
    <row r="1965" ht="15.6" customHeight="1" spans="1:6">
      <c r="A1965" s="7" t="s">
        <v>104</v>
      </c>
      <c r="B1965" s="7" t="s">
        <v>835</v>
      </c>
      <c r="C1965" s="7" t="s">
        <v>159</v>
      </c>
      <c r="D1965" s="7" t="s">
        <v>422</v>
      </c>
      <c r="E1965" s="7" t="s">
        <v>160</v>
      </c>
      <c r="F1965" s="7" t="s">
        <v>18</v>
      </c>
    </row>
    <row r="1966" ht="15.6" customHeight="1" spans="1:6">
      <c r="A1966" s="7" t="s">
        <v>836</v>
      </c>
      <c r="B1966" s="7" t="s">
        <v>837</v>
      </c>
      <c r="C1966" s="7"/>
      <c r="D1966" s="7"/>
      <c r="E1966" s="7"/>
      <c r="F1966" s="34">
        <f>F1967+F1989+F1990</f>
        <v>95864.4070175221</v>
      </c>
    </row>
    <row r="1967" ht="15.6" customHeight="1" spans="1:6">
      <c r="A1967" s="7" t="s">
        <v>539</v>
      </c>
      <c r="B1967" s="7" t="s">
        <v>838</v>
      </c>
      <c r="C1967" s="7"/>
      <c r="D1967" s="7"/>
      <c r="E1967" s="7"/>
      <c r="F1967" s="34">
        <f>F1968+F1971+F1978+F1986</f>
        <v>91473.6708182462</v>
      </c>
    </row>
    <row r="1968" ht="15.6" customHeight="1" spans="1:6">
      <c r="A1968" s="7">
        <v>1</v>
      </c>
      <c r="B1968" s="7" t="s">
        <v>839</v>
      </c>
      <c r="C1968" s="7" t="s">
        <v>840</v>
      </c>
      <c r="D1968" s="34"/>
      <c r="E1968" s="42">
        <f>SUM(E1969:E1970)</f>
        <v>3814.7</v>
      </c>
      <c r="F1968" s="69">
        <f>SUM(F1969:F1970)</f>
        <v>26796.872</v>
      </c>
    </row>
    <row r="1969" s="217" customFormat="1" ht="15.6" customHeight="1" spans="1:6">
      <c r="A1969" s="7"/>
      <c r="B1969" s="7" t="s">
        <v>841</v>
      </c>
      <c r="C1969" s="7" t="s">
        <v>840</v>
      </c>
      <c r="D1969" s="69">
        <f>D1734</f>
        <v>8.1</v>
      </c>
      <c r="E1969" s="42">
        <f>4108.2*0.5</f>
        <v>2054.1</v>
      </c>
      <c r="F1969" s="69">
        <f>D1969*E1969</f>
        <v>16638.21</v>
      </c>
    </row>
    <row r="1970" s="217" customFormat="1" ht="15.6" customHeight="1" spans="1:6">
      <c r="A1970" s="7"/>
      <c r="B1970" s="7" t="s">
        <v>842</v>
      </c>
      <c r="C1970" s="7" t="s">
        <v>840</v>
      </c>
      <c r="D1970" s="69">
        <f>D1735</f>
        <v>5.77</v>
      </c>
      <c r="E1970" s="42">
        <f>1760.6</f>
        <v>1760.6</v>
      </c>
      <c r="F1970" s="69">
        <f>D1970*E1970</f>
        <v>10158.662</v>
      </c>
    </row>
    <row r="1971" ht="15.6" customHeight="1" spans="1:6">
      <c r="A1971" s="7">
        <v>2</v>
      </c>
      <c r="B1971" s="7" t="s">
        <v>912</v>
      </c>
      <c r="C1971" s="7"/>
      <c r="D1971" s="34"/>
      <c r="E1971" s="34"/>
      <c r="F1971" s="34">
        <f>SUM(F1972:F1977)</f>
        <v>60864.9073023214</v>
      </c>
    </row>
    <row r="1972" ht="15.6" customHeight="1" spans="1:6">
      <c r="A1972" s="7"/>
      <c r="B1972" s="7" t="s">
        <v>996</v>
      </c>
      <c r="C1972" s="7" t="s">
        <v>169</v>
      </c>
      <c r="D1972" s="34">
        <f>D1878</f>
        <v>2238.008025</v>
      </c>
      <c r="E1972" s="34">
        <f>26.19*0.5</f>
        <v>13.095</v>
      </c>
      <c r="F1972" s="34">
        <f t="shared" ref="F1972:F1977" si="138">D1972*E1972</f>
        <v>29306.715087375</v>
      </c>
    </row>
    <row r="1973" ht="15.6" customHeight="1" spans="1:6">
      <c r="A1973" s="7"/>
      <c r="B1973" s="7" t="s">
        <v>1001</v>
      </c>
      <c r="C1973" s="7" t="s">
        <v>863</v>
      </c>
      <c r="D1973" s="34">
        <f>基础材料表!D32</f>
        <v>6.39</v>
      </c>
      <c r="E1973" s="34">
        <v>616.3</v>
      </c>
      <c r="F1973" s="34">
        <f t="shared" si="138"/>
        <v>3938.157</v>
      </c>
    </row>
    <row r="1974" ht="15.6" customHeight="1" spans="1:6">
      <c r="A1974" s="7"/>
      <c r="B1974" s="7" t="s">
        <v>1000</v>
      </c>
      <c r="C1974" s="7" t="s">
        <v>863</v>
      </c>
      <c r="D1974" s="34">
        <f>基础材料表!D28</f>
        <v>4.5</v>
      </c>
      <c r="E1974" s="34">
        <v>134.3</v>
      </c>
      <c r="F1974" s="34">
        <f t="shared" si="138"/>
        <v>604.35</v>
      </c>
    </row>
    <row r="1975" ht="15.6" customHeight="1" spans="1:6">
      <c r="A1975" s="7"/>
      <c r="B1975" s="7" t="s">
        <v>1025</v>
      </c>
      <c r="C1975" s="7" t="s">
        <v>169</v>
      </c>
      <c r="D1975" s="34">
        <f>配合比!M11</f>
        <v>188.0418245</v>
      </c>
      <c r="E1975" s="34">
        <v>103</v>
      </c>
      <c r="F1975" s="34">
        <f t="shared" si="138"/>
        <v>19368.3079235</v>
      </c>
    </row>
    <row r="1976" ht="15.6" customHeight="1" spans="1:6">
      <c r="A1976" s="7"/>
      <c r="B1976" s="7" t="s">
        <v>913</v>
      </c>
      <c r="C1976" s="7" t="s">
        <v>169</v>
      </c>
      <c r="D1976" s="34">
        <f>材料预算价!K13</f>
        <v>3.59</v>
      </c>
      <c r="E1976" s="34">
        <v>140</v>
      </c>
      <c r="F1976" s="34">
        <f t="shared" si="138"/>
        <v>502.6</v>
      </c>
    </row>
    <row r="1977" ht="15.6" customHeight="1" spans="1:6">
      <c r="A1977" s="7"/>
      <c r="B1977" s="7" t="s">
        <v>1004</v>
      </c>
      <c r="C1977" s="9" t="s">
        <v>845</v>
      </c>
      <c r="D1977" s="34">
        <f>SUM(F1972:F1976)</f>
        <v>53720.130010875</v>
      </c>
      <c r="E1977" s="51">
        <v>0.133</v>
      </c>
      <c r="F1977" s="34">
        <f t="shared" si="138"/>
        <v>7144.77729144638</v>
      </c>
    </row>
    <row r="1978" ht="15.6" customHeight="1" spans="1:6">
      <c r="A1978" s="7">
        <v>3</v>
      </c>
      <c r="B1978" s="7" t="s">
        <v>859</v>
      </c>
      <c r="C1978" s="7"/>
      <c r="D1978" s="34"/>
      <c r="E1978" s="34"/>
      <c r="F1978" s="34">
        <f>SUM(F1979:F1985)</f>
        <v>1820.2353245367</v>
      </c>
    </row>
    <row r="1979" ht="15.6" customHeight="1" spans="1:6">
      <c r="A1979" s="7"/>
      <c r="B1979" s="7" t="s">
        <v>1059</v>
      </c>
      <c r="C1979" s="7" t="s">
        <v>428</v>
      </c>
      <c r="D1979" s="34">
        <f>台时!H42</f>
        <v>49.389824491424</v>
      </c>
      <c r="E1979" s="34">
        <v>16.64</v>
      </c>
      <c r="F1979" s="34">
        <f t="shared" ref="F1979:F1984" si="139">D1979*E1979</f>
        <v>821.846679537296</v>
      </c>
    </row>
    <row r="1980" ht="15.6" customHeight="1" spans="1:6">
      <c r="A1980" s="7"/>
      <c r="B1980" s="7" t="s">
        <v>1060</v>
      </c>
      <c r="C1980" s="7" t="s">
        <v>428</v>
      </c>
      <c r="D1980" s="34">
        <f>台时!F84</f>
        <v>62.3342780215397</v>
      </c>
      <c r="E1980" s="34">
        <v>0.18</v>
      </c>
      <c r="F1980" s="34">
        <f t="shared" si="139"/>
        <v>11.2201700438771</v>
      </c>
    </row>
    <row r="1981" ht="15.6" customHeight="1" spans="1:6">
      <c r="A1981" s="7"/>
      <c r="B1981" s="7" t="s">
        <v>1061</v>
      </c>
      <c r="C1981" s="7" t="s">
        <v>428</v>
      </c>
      <c r="D1981" s="34">
        <f>台时!F63</f>
        <v>95.890325887515</v>
      </c>
      <c r="E1981" s="34">
        <v>0.21</v>
      </c>
      <c r="F1981" s="34">
        <f t="shared" si="139"/>
        <v>20.1369684363781</v>
      </c>
    </row>
    <row r="1982" ht="15.6" customHeight="1" spans="1:6">
      <c r="A1982" s="7"/>
      <c r="B1982" s="7" t="s">
        <v>1008</v>
      </c>
      <c r="C1982" s="7" t="s">
        <v>428</v>
      </c>
      <c r="D1982" s="34">
        <f>台时!D42</f>
        <v>23.9179521340247</v>
      </c>
      <c r="E1982" s="34">
        <v>18.54</v>
      </c>
      <c r="F1982" s="34">
        <f t="shared" si="139"/>
        <v>443.438832564818</v>
      </c>
    </row>
    <row r="1983" ht="15.6" customHeight="1" spans="1:6">
      <c r="A1983" s="7"/>
      <c r="B1983" s="7" t="s">
        <v>1021</v>
      </c>
      <c r="C1983" s="7" t="s">
        <v>428</v>
      </c>
      <c r="D1983" s="34">
        <f>台时!C84</f>
        <v>2.41252772237734</v>
      </c>
      <c r="E1983" s="34">
        <v>90.64</v>
      </c>
      <c r="F1983" s="34">
        <f t="shared" si="139"/>
        <v>218.671512756282</v>
      </c>
    </row>
    <row r="1984" ht="15.6" customHeight="1" spans="1:6">
      <c r="A1984" s="7"/>
      <c r="B1984" s="7" t="s">
        <v>967</v>
      </c>
      <c r="C1984" s="7" t="s">
        <v>428</v>
      </c>
      <c r="D1984" s="34">
        <f>台时!C42</f>
        <v>0.813242919824491</v>
      </c>
      <c r="E1984" s="34">
        <v>83</v>
      </c>
      <c r="F1984" s="34">
        <f t="shared" si="139"/>
        <v>67.4991623454328</v>
      </c>
    </row>
    <row r="1985" ht="15.6" customHeight="1" spans="1:6">
      <c r="A1985" s="7"/>
      <c r="B1985" s="7" t="s">
        <v>918</v>
      </c>
      <c r="C1985" s="9" t="s">
        <v>845</v>
      </c>
      <c r="D1985" s="34">
        <f>SUM(F1979:F1984)</f>
        <v>1582.81332568408</v>
      </c>
      <c r="E1985" s="34">
        <v>15</v>
      </c>
      <c r="F1985" s="34">
        <f>D1985*E1985/100</f>
        <v>237.421998852613</v>
      </c>
    </row>
    <row r="1986" s="216" customFormat="1" ht="15.6" customHeight="1" spans="1:6">
      <c r="A1986" s="7">
        <v>4</v>
      </c>
      <c r="B1986" s="7" t="s">
        <v>1010</v>
      </c>
      <c r="C1986" s="9"/>
      <c r="D1986" s="34"/>
      <c r="E1986" s="34"/>
      <c r="F1986" s="34">
        <f>SUM(F1987:F1988)</f>
        <v>1991.65619138815</v>
      </c>
    </row>
    <row r="1987" s="216" customFormat="1" ht="15.6" customHeight="1" spans="1:6">
      <c r="A1987" s="7"/>
      <c r="B1987" s="123" t="s">
        <v>681</v>
      </c>
      <c r="C1987" s="123" t="s">
        <v>169</v>
      </c>
      <c r="D1987" s="274">
        <f>D1755</f>
        <v>5.03319379720782</v>
      </c>
      <c r="E1987" s="274">
        <v>103</v>
      </c>
      <c r="F1987" s="34">
        <f>D1987*E1987</f>
        <v>518.418961112405</v>
      </c>
    </row>
    <row r="1988" s="216" customFormat="1" ht="15.6" customHeight="1" spans="1:6">
      <c r="A1988" s="7"/>
      <c r="B1988" s="123" t="s">
        <v>682</v>
      </c>
      <c r="C1988" s="123" t="s">
        <v>169</v>
      </c>
      <c r="D1988" s="274">
        <f>$F$2813/100</f>
        <v>14.303274080347</v>
      </c>
      <c r="E1988" s="274">
        <v>103</v>
      </c>
      <c r="F1988" s="34">
        <f>D1988*E1988</f>
        <v>1473.23723027574</v>
      </c>
    </row>
    <row r="1989" s="216" customFormat="1" ht="15.6" customHeight="1" spans="1:6">
      <c r="A1989" s="7" t="s">
        <v>564</v>
      </c>
      <c r="B1989" s="7" t="s">
        <v>846</v>
      </c>
      <c r="C1989" s="230">
        <f>取费表!$C$7</f>
        <v>0.048</v>
      </c>
      <c r="D1989" s="274"/>
      <c r="E1989" s="274">
        <f>F1967</f>
        <v>91473.6708182462</v>
      </c>
      <c r="F1989" s="34">
        <f>E1989*C1989</f>
        <v>4390.73619927582</v>
      </c>
    </row>
    <row r="1990" s="216" customFormat="1" ht="15.6" customHeight="1" spans="1:6">
      <c r="A1990" s="7"/>
      <c r="B1990" s="7"/>
      <c r="C1990" s="230"/>
      <c r="D1990" s="274"/>
      <c r="E1990" s="274"/>
      <c r="F1990" s="34"/>
    </row>
    <row r="1991" s="216" customFormat="1" ht="15.6" customHeight="1" spans="1:6">
      <c r="A1991" s="7" t="s">
        <v>439</v>
      </c>
      <c r="B1991" s="7" t="s">
        <v>847</v>
      </c>
      <c r="C1991" s="230">
        <f>取费表!$E$7</f>
        <v>0.07</v>
      </c>
      <c r="D1991" s="274"/>
      <c r="E1991" s="274">
        <f>F1966</f>
        <v>95864.4070175221</v>
      </c>
      <c r="F1991" s="34">
        <f>E1991*C1991</f>
        <v>6710.50849122654</v>
      </c>
    </row>
    <row r="1992" ht="15.6" customHeight="1" spans="1:6">
      <c r="A1992" s="7" t="s">
        <v>83</v>
      </c>
      <c r="B1992" s="7" t="s">
        <v>848</v>
      </c>
      <c r="C1992" s="230">
        <f>取费表!$F$7</f>
        <v>0.07</v>
      </c>
      <c r="D1992" s="274"/>
      <c r="E1992" s="274">
        <f>F1966+F1991</f>
        <v>102574.915508749</v>
      </c>
      <c r="F1992" s="34">
        <f>E1992*C1992</f>
        <v>7180.2440856124</v>
      </c>
    </row>
    <row r="1993" s="220" customFormat="1" ht="15.6" customHeight="1" spans="1:6">
      <c r="A1993" s="5" t="s">
        <v>121</v>
      </c>
      <c r="B1993" s="5" t="s">
        <v>861</v>
      </c>
      <c r="C1993" s="275"/>
      <c r="D1993" s="276"/>
      <c r="E1993" s="5"/>
      <c r="F1993" s="277">
        <f>F1994+F1998</f>
        <v>10355.8502119433</v>
      </c>
    </row>
    <row r="1994" ht="15.6" customHeight="1" spans="1:6">
      <c r="A1994" s="7">
        <v>1</v>
      </c>
      <c r="B1994" s="7" t="s">
        <v>1011</v>
      </c>
      <c r="C1994" s="9"/>
      <c r="D1994" s="34"/>
      <c r="E1994" s="7"/>
      <c r="F1994" s="69">
        <f>SUM(F1995:F1997)</f>
        <v>9639.80211194332</v>
      </c>
    </row>
    <row r="1995" ht="15.6" customHeight="1" spans="1:6">
      <c r="A1995" s="7"/>
      <c r="B1995" s="7" t="s">
        <v>979</v>
      </c>
      <c r="C1995" s="7" t="s">
        <v>200</v>
      </c>
      <c r="D1995" s="34">
        <f>材料预算价!N5</f>
        <v>141.58936</v>
      </c>
      <c r="E1995" s="38">
        <f>E1975*配合比!E11</f>
        <v>37.58161</v>
      </c>
      <c r="F1995" s="69">
        <f>D1995*E1995</f>
        <v>5321.1561076696</v>
      </c>
    </row>
    <row r="1996" ht="15.6" customHeight="1" spans="1:6">
      <c r="A1996" s="7"/>
      <c r="B1996" s="7" t="s">
        <v>961</v>
      </c>
      <c r="C1996" s="7" t="s">
        <v>169</v>
      </c>
      <c r="D1996" s="34">
        <f>D1906</f>
        <v>34.366056</v>
      </c>
      <c r="E1996" s="38">
        <f>E1975*配合比!G11</f>
        <v>52.18598</v>
      </c>
      <c r="F1996" s="69">
        <f>D1996*E1996</f>
        <v>1793.42631109488</v>
      </c>
    </row>
    <row r="1997" ht="15.6" customHeight="1" spans="1:6">
      <c r="A1997" s="7"/>
      <c r="B1997" s="7" t="s">
        <v>1012</v>
      </c>
      <c r="C1997" s="7" t="s">
        <v>169</v>
      </c>
      <c r="D1997" s="34">
        <f>D1766</f>
        <v>29.13701</v>
      </c>
      <c r="E1997" s="38">
        <f>E1975*配合比!I11</f>
        <v>86.667084</v>
      </c>
      <c r="F1997" s="69">
        <f>D1997*E1997</f>
        <v>2525.21969317884</v>
      </c>
    </row>
    <row r="1998" ht="15.6" customHeight="1" spans="1:6">
      <c r="A1998" s="7">
        <v>2</v>
      </c>
      <c r="B1998" s="7" t="s">
        <v>1013</v>
      </c>
      <c r="C1998" s="7"/>
      <c r="D1998" s="34"/>
      <c r="E1998" s="38"/>
      <c r="F1998" s="69">
        <f>SUM(F1999:F2000)</f>
        <v>716.0481</v>
      </c>
    </row>
    <row r="1999" ht="15.6" customHeight="1" spans="1:6">
      <c r="A1999" s="7"/>
      <c r="B1999" s="7" t="s">
        <v>1014</v>
      </c>
      <c r="C1999" s="7" t="s">
        <v>863</v>
      </c>
      <c r="D1999" s="34">
        <f>材料预算价!K12-材料预算价!L12</f>
        <v>5.925</v>
      </c>
      <c r="E1999" s="38">
        <f>E1979*台时!H34+新定额单价!E1980*台时!F76</f>
        <v>120.852</v>
      </c>
      <c r="F1999" s="69">
        <f>D1999*E1999</f>
        <v>716.0481</v>
      </c>
    </row>
    <row r="2000" ht="15.6" customHeight="1" spans="1:6">
      <c r="A2000" s="7"/>
      <c r="B2000" s="7" t="s">
        <v>862</v>
      </c>
      <c r="C2000" s="7" t="s">
        <v>863</v>
      </c>
      <c r="D2000" s="34">
        <f>材料预算价!K11-材料预算价!L11</f>
        <v>4.58</v>
      </c>
      <c r="E2000" s="38"/>
      <c r="F2000" s="69">
        <f>D2000*E2000</f>
        <v>0</v>
      </c>
    </row>
    <row r="2001" ht="23.25" customHeight="1" spans="1:6">
      <c r="A2001" s="7"/>
      <c r="B2001" s="7" t="s">
        <v>849</v>
      </c>
      <c r="C2001" s="231">
        <f>C1770</f>
        <v>0.09</v>
      </c>
      <c r="D2001" s="283"/>
      <c r="E2001" s="34">
        <f>F1966+F1991+F1992+F1993</f>
        <v>120111.009806304</v>
      </c>
      <c r="F2001" s="34">
        <f>C2001*E2001</f>
        <v>10809.9908825674</v>
      </c>
    </row>
    <row r="2002" customHeight="1" spans="1:6">
      <c r="A2002" s="7"/>
      <c r="B2002" s="7" t="s">
        <v>850</v>
      </c>
      <c r="C2002" s="231"/>
      <c r="D2002" s="283"/>
      <c r="E2002" s="34"/>
      <c r="F2002" s="34">
        <f>(E2001+F2001)*取费表!H4</f>
        <v>3927.63002066615</v>
      </c>
    </row>
    <row r="2003" ht="22.5" customHeight="1" spans="1:6">
      <c r="A2003" s="7"/>
      <c r="B2003" s="7" t="s">
        <v>156</v>
      </c>
      <c r="C2003" s="8"/>
      <c r="D2003" s="283"/>
      <c r="E2003" s="283"/>
      <c r="F2003" s="34">
        <f>E2001+F2001+F2002</f>
        <v>134848.630709538</v>
      </c>
    </row>
    <row r="2004" ht="15.95" customHeight="1" spans="1:6">
      <c r="A2004" s="236" t="s">
        <v>828</v>
      </c>
      <c r="B2004" s="236"/>
      <c r="C2004" s="236"/>
      <c r="D2004" s="236"/>
      <c r="E2004" s="236"/>
      <c r="F2004" s="236"/>
    </row>
    <row r="2005" ht="15.95" customHeight="1" spans="1:6">
      <c r="A2005" s="278" t="s">
        <v>1062</v>
      </c>
      <c r="B2005" s="272"/>
      <c r="C2005" s="272"/>
      <c r="D2005" s="272"/>
      <c r="E2005" s="272"/>
      <c r="F2005" s="272"/>
    </row>
    <row r="2006" ht="15.95" customHeight="1" spans="1:6">
      <c r="A2006" s="227" t="s">
        <v>1063</v>
      </c>
      <c r="B2006" s="228"/>
      <c r="C2006" s="272"/>
      <c r="D2006" s="272"/>
      <c r="E2006" s="228" t="s">
        <v>832</v>
      </c>
      <c r="F2006" s="228"/>
    </row>
    <row r="2007" ht="15.95" customHeight="1" spans="1:6">
      <c r="A2007" s="232" t="s">
        <v>911</v>
      </c>
      <c r="B2007" s="233"/>
      <c r="C2007" s="234"/>
      <c r="D2007" s="234"/>
      <c r="E2007" s="234"/>
      <c r="F2007" s="235"/>
    </row>
    <row r="2008" ht="15.95" customHeight="1" spans="1:6">
      <c r="A2008" s="7" t="s">
        <v>104</v>
      </c>
      <c r="B2008" s="7" t="s">
        <v>835</v>
      </c>
      <c r="C2008" s="7" t="s">
        <v>159</v>
      </c>
      <c r="D2008" s="7" t="s">
        <v>422</v>
      </c>
      <c r="E2008" s="7" t="s">
        <v>160</v>
      </c>
      <c r="F2008" s="7" t="s">
        <v>18</v>
      </c>
    </row>
    <row r="2009" ht="15.95" customHeight="1" spans="1:6">
      <c r="A2009" s="7" t="s">
        <v>836</v>
      </c>
      <c r="B2009" s="7" t="s">
        <v>837</v>
      </c>
      <c r="C2009" s="7"/>
      <c r="D2009" s="7"/>
      <c r="E2009" s="7"/>
      <c r="F2009" s="34">
        <f>F2010+F2026+F2027</f>
        <v>32532.2200885022</v>
      </c>
    </row>
    <row r="2010" ht="15.95" customHeight="1" spans="1:6">
      <c r="A2010" s="7" t="s">
        <v>539</v>
      </c>
      <c r="B2010" s="7" t="s">
        <v>838</v>
      </c>
      <c r="C2010" s="7"/>
      <c r="D2010" s="7"/>
      <c r="E2010" s="7"/>
      <c r="F2010" s="34">
        <f>F2011+F2014+F2018+F2023</f>
        <v>31042.1947409372</v>
      </c>
    </row>
    <row r="2011" ht="15.95" customHeight="1" spans="1:6">
      <c r="A2011" s="7">
        <v>1</v>
      </c>
      <c r="B2011" s="7" t="s">
        <v>839</v>
      </c>
      <c r="C2011" s="7" t="s">
        <v>840</v>
      </c>
      <c r="D2011" s="34"/>
      <c r="E2011" s="42">
        <f>SUM(E2012:E2013)</f>
        <v>590.1</v>
      </c>
      <c r="F2011" s="69">
        <f>SUM(F2012:F2013)</f>
        <v>4075.684</v>
      </c>
    </row>
    <row r="2012" ht="15.95" customHeight="1" spans="1:6">
      <c r="A2012" s="7"/>
      <c r="B2012" s="7" t="s">
        <v>841</v>
      </c>
      <c r="C2012" s="7" t="s">
        <v>840</v>
      </c>
      <c r="D2012" s="69">
        <f>D1969</f>
        <v>8.1</v>
      </c>
      <c r="E2012" s="42">
        <v>287.9</v>
      </c>
      <c r="F2012" s="69">
        <f>D2012*E2012</f>
        <v>2331.99</v>
      </c>
    </row>
    <row r="2013" ht="15.95" customHeight="1" spans="1:6">
      <c r="A2013" s="7"/>
      <c r="B2013" s="7" t="s">
        <v>842</v>
      </c>
      <c r="C2013" s="7" t="s">
        <v>840</v>
      </c>
      <c r="D2013" s="69">
        <f>D1970</f>
        <v>5.77</v>
      </c>
      <c r="E2013" s="42">
        <v>302.2</v>
      </c>
      <c r="F2013" s="69">
        <f>D2013*E2013</f>
        <v>1743.694</v>
      </c>
    </row>
    <row r="2014" ht="15.95" customHeight="1" spans="1:6">
      <c r="A2014" s="7">
        <v>2</v>
      </c>
      <c r="B2014" s="7" t="s">
        <v>912</v>
      </c>
      <c r="C2014" s="7"/>
      <c r="D2014" s="34"/>
      <c r="E2014" s="34"/>
      <c r="F2014" s="34">
        <f>SUM(F2015:F2017)</f>
        <v>24359.7471452555</v>
      </c>
    </row>
    <row r="2015" ht="15.95" customHeight="1" spans="1:6">
      <c r="A2015" s="7"/>
      <c r="B2015" s="7" t="s">
        <v>1056</v>
      </c>
      <c r="C2015" s="7" t="s">
        <v>169</v>
      </c>
      <c r="D2015" s="34">
        <f>配合比!M12</f>
        <v>208.0428945</v>
      </c>
      <c r="E2015" s="34">
        <v>103</v>
      </c>
      <c r="F2015" s="34">
        <f>D2015*E2015</f>
        <v>21428.4181335</v>
      </c>
    </row>
    <row r="2016" ht="15.95" customHeight="1" spans="1:6">
      <c r="A2016" s="7"/>
      <c r="B2016" s="7" t="s">
        <v>913</v>
      </c>
      <c r="C2016" s="7" t="s">
        <v>169</v>
      </c>
      <c r="D2016" s="34">
        <f>D1976</f>
        <v>3.59</v>
      </c>
      <c r="E2016" s="34">
        <v>20</v>
      </c>
      <c r="F2016" s="34">
        <f>D2016*E2016</f>
        <v>71.8</v>
      </c>
    </row>
    <row r="2017" ht="15.95" customHeight="1" spans="1:6">
      <c r="A2017" s="7"/>
      <c r="B2017" s="7" t="s">
        <v>1004</v>
      </c>
      <c r="C2017" s="9" t="s">
        <v>845</v>
      </c>
      <c r="D2017" s="34">
        <f>SUM(F2015:F2016)</f>
        <v>21500.2181335</v>
      </c>
      <c r="E2017" s="51">
        <v>0.133</v>
      </c>
      <c r="F2017" s="34">
        <f>D2017*E2017</f>
        <v>2859.5290117555</v>
      </c>
    </row>
    <row r="2018" ht="15.95" customHeight="1" spans="1:6">
      <c r="A2018" s="7">
        <v>3</v>
      </c>
      <c r="B2018" s="7" t="s">
        <v>859</v>
      </c>
      <c r="C2018" s="7"/>
      <c r="D2018" s="34"/>
      <c r="E2018" s="34"/>
      <c r="F2018" s="34">
        <f>SUM(F2019:F2022)</f>
        <v>615.107404293578</v>
      </c>
    </row>
    <row r="2019" ht="15.95" customHeight="1" spans="1:6">
      <c r="A2019" s="7"/>
      <c r="B2019" s="7" t="s">
        <v>1008</v>
      </c>
      <c r="C2019" s="7" t="s">
        <v>428</v>
      </c>
      <c r="D2019" s="34">
        <f>D1982</f>
        <v>23.9179521340247</v>
      </c>
      <c r="E2019" s="34">
        <v>18.54</v>
      </c>
      <c r="F2019" s="34">
        <f>D2019*E2019</f>
        <v>443.438832564818</v>
      </c>
    </row>
    <row r="2020" ht="15.95" customHeight="1" spans="1:6">
      <c r="A2020" s="7"/>
      <c r="B2020" s="7" t="s">
        <v>1021</v>
      </c>
      <c r="C2020" s="7" t="s">
        <v>428</v>
      </c>
      <c r="D2020" s="34">
        <f>D1983</f>
        <v>2.41252772237734</v>
      </c>
      <c r="E2020" s="34">
        <v>20</v>
      </c>
      <c r="F2020" s="34">
        <f>D2020*E2020</f>
        <v>48.2505544475469</v>
      </c>
    </row>
    <row r="2021" ht="15.95" customHeight="1" spans="1:6">
      <c r="A2021" s="7"/>
      <c r="B2021" s="7" t="s">
        <v>967</v>
      </c>
      <c r="C2021" s="7" t="s">
        <v>428</v>
      </c>
      <c r="D2021" s="34">
        <f>D1984</f>
        <v>0.813242919824491</v>
      </c>
      <c r="E2021" s="34">
        <v>83</v>
      </c>
      <c r="F2021" s="34">
        <f>D2021*E2021</f>
        <v>67.4991623454328</v>
      </c>
    </row>
    <row r="2022" ht="15.95" customHeight="1" spans="1:6">
      <c r="A2022" s="7"/>
      <c r="B2022" s="7" t="s">
        <v>918</v>
      </c>
      <c r="C2022" s="9" t="s">
        <v>845</v>
      </c>
      <c r="D2022" s="34">
        <f>SUM(F2019:F2021)</f>
        <v>559.188549357798</v>
      </c>
      <c r="E2022" s="34">
        <v>10</v>
      </c>
      <c r="F2022" s="34">
        <f>D2022*E2022/100</f>
        <v>55.9188549357798</v>
      </c>
    </row>
    <row r="2023" ht="15.95" customHeight="1" spans="1:6">
      <c r="A2023" s="7">
        <v>4</v>
      </c>
      <c r="B2023" s="7" t="s">
        <v>1010</v>
      </c>
      <c r="C2023" s="9"/>
      <c r="D2023" s="34"/>
      <c r="E2023" s="34"/>
      <c r="F2023" s="34">
        <f>SUM(F2024:F2025)</f>
        <v>1991.65619138815</v>
      </c>
    </row>
    <row r="2024" ht="15.95" customHeight="1" spans="1:6">
      <c r="A2024" s="7"/>
      <c r="B2024" s="123" t="s">
        <v>681</v>
      </c>
      <c r="C2024" s="123" t="s">
        <v>169</v>
      </c>
      <c r="D2024" s="274">
        <f>D1987</f>
        <v>5.03319379720782</v>
      </c>
      <c r="E2024" s="274">
        <v>103</v>
      </c>
      <c r="F2024" s="34">
        <f>D2024*E2024</f>
        <v>518.418961112405</v>
      </c>
    </row>
    <row r="2025" ht="15.95" customHeight="1" spans="1:6">
      <c r="A2025" s="7"/>
      <c r="B2025" s="123" t="s">
        <v>682</v>
      </c>
      <c r="C2025" s="123" t="s">
        <v>169</v>
      </c>
      <c r="D2025" s="274">
        <f>D1988</f>
        <v>14.303274080347</v>
      </c>
      <c r="E2025" s="274">
        <v>103</v>
      </c>
      <c r="F2025" s="34">
        <f>D2025*E2025</f>
        <v>1473.23723027574</v>
      </c>
    </row>
    <row r="2026" ht="15.95" customHeight="1" spans="1:6">
      <c r="A2026" s="7" t="s">
        <v>564</v>
      </c>
      <c r="B2026" s="7" t="s">
        <v>846</v>
      </c>
      <c r="C2026" s="230">
        <f>取费表!$C$7</f>
        <v>0.048</v>
      </c>
      <c r="D2026" s="274"/>
      <c r="E2026" s="274">
        <f>F2010</f>
        <v>31042.1947409372</v>
      </c>
      <c r="F2026" s="34">
        <f>E2026*C2026</f>
        <v>1490.02534756499</v>
      </c>
    </row>
    <row r="2027" ht="15.95" customHeight="1" spans="1:6">
      <c r="A2027" s="7"/>
      <c r="B2027" s="7"/>
      <c r="C2027" s="230"/>
      <c r="D2027" s="274"/>
      <c r="E2027" s="274"/>
      <c r="F2027" s="34"/>
    </row>
    <row r="2028" ht="15.95" customHeight="1" spans="1:6">
      <c r="A2028" s="7" t="s">
        <v>439</v>
      </c>
      <c r="B2028" s="7" t="s">
        <v>847</v>
      </c>
      <c r="C2028" s="230">
        <f>取费表!$E$7</f>
        <v>0.07</v>
      </c>
      <c r="D2028" s="274"/>
      <c r="E2028" s="274">
        <f>F2009</f>
        <v>32532.2200885022</v>
      </c>
      <c r="F2028" s="34">
        <f>E2028*C2028</f>
        <v>2277.25540619516</v>
      </c>
    </row>
    <row r="2029" ht="15.95" customHeight="1" spans="1:6">
      <c r="A2029" s="7" t="s">
        <v>83</v>
      </c>
      <c r="B2029" s="7" t="s">
        <v>848</v>
      </c>
      <c r="C2029" s="230">
        <f>取费表!$F$7</f>
        <v>0.07</v>
      </c>
      <c r="D2029" s="274"/>
      <c r="E2029" s="274">
        <f>F2009+F2028</f>
        <v>34809.4754946974</v>
      </c>
      <c r="F2029" s="34">
        <f>E2029*C2029</f>
        <v>2436.66328462882</v>
      </c>
    </row>
    <row r="2030" ht="15.95" customHeight="1" spans="1:6">
      <c r="A2030" s="5" t="s">
        <v>121</v>
      </c>
      <c r="B2030" s="5" t="s">
        <v>861</v>
      </c>
      <c r="C2030" s="275"/>
      <c r="D2030" s="276"/>
      <c r="E2030" s="5"/>
      <c r="F2030" s="277">
        <f>F2031+F2035</f>
        <v>10809.5044597488</v>
      </c>
    </row>
    <row r="2031" ht="15.95" customHeight="1" spans="1:6">
      <c r="A2031" s="7">
        <v>1</v>
      </c>
      <c r="B2031" s="7" t="s">
        <v>1011</v>
      </c>
      <c r="C2031" s="9"/>
      <c r="D2031" s="34"/>
      <c r="E2031" s="7"/>
      <c r="F2031" s="69">
        <f>SUM(F2032:F2034)</f>
        <v>10809.5044597488</v>
      </c>
    </row>
    <row r="2032" ht="15.95" customHeight="1" spans="1:6">
      <c r="A2032" s="7"/>
      <c r="B2032" s="7" t="s">
        <v>979</v>
      </c>
      <c r="C2032" s="7" t="s">
        <v>200</v>
      </c>
      <c r="D2032" s="34">
        <f>D1952</f>
        <v>141.58936</v>
      </c>
      <c r="E2032" s="38">
        <f>E2015*配合比!E12</f>
        <v>46.552704</v>
      </c>
      <c r="F2032" s="69">
        <f>D2032*E2032</f>
        <v>6591.36756562944</v>
      </c>
    </row>
    <row r="2033" ht="15.95" customHeight="1" spans="1:6">
      <c r="A2033" s="7"/>
      <c r="B2033" s="7" t="s">
        <v>961</v>
      </c>
      <c r="C2033" s="7" t="s">
        <v>169</v>
      </c>
      <c r="D2033" s="34">
        <f>D1953</f>
        <v>34.366056</v>
      </c>
      <c r="E2033" s="38">
        <f>E2015*配合比!G12</f>
        <v>51.07564</v>
      </c>
      <c r="F2033" s="69">
        <f>D2033*E2033</f>
        <v>1755.26830447584</v>
      </c>
    </row>
    <row r="2034" ht="15.95" customHeight="1" spans="1:6">
      <c r="A2034" s="7"/>
      <c r="B2034" s="7" t="s">
        <v>1012</v>
      </c>
      <c r="C2034" s="7" t="s">
        <v>169</v>
      </c>
      <c r="D2034" s="34">
        <f>D1954</f>
        <v>29.13701</v>
      </c>
      <c r="E2034" s="38">
        <f>E2015*配合比!I12</f>
        <v>84.527156</v>
      </c>
      <c r="F2034" s="69">
        <f>D2034*E2034</f>
        <v>2462.86858964356</v>
      </c>
    </row>
    <row r="2035" ht="15.95" customHeight="1" spans="1:6">
      <c r="A2035" s="7">
        <v>2</v>
      </c>
      <c r="B2035" s="7" t="s">
        <v>1013</v>
      </c>
      <c r="C2035" s="7"/>
      <c r="D2035" s="34"/>
      <c r="E2035" s="38"/>
      <c r="F2035" s="69">
        <f>SUM(F2036:F2037)</f>
        <v>0</v>
      </c>
    </row>
    <row r="2036" ht="15.95" customHeight="1" spans="1:6">
      <c r="A2036" s="7"/>
      <c r="B2036" s="7" t="s">
        <v>1014</v>
      </c>
      <c r="C2036" s="7" t="s">
        <v>863</v>
      </c>
      <c r="D2036" s="34">
        <f>D1956</f>
        <v>5.925</v>
      </c>
      <c r="E2036" s="38"/>
      <c r="F2036" s="69">
        <f>D2036*E2036</f>
        <v>0</v>
      </c>
    </row>
    <row r="2037" ht="15.95" customHeight="1" spans="1:6">
      <c r="A2037" s="7"/>
      <c r="B2037" s="7" t="s">
        <v>862</v>
      </c>
      <c r="C2037" s="7" t="s">
        <v>863</v>
      </c>
      <c r="D2037" s="34">
        <f>D1957</f>
        <v>4.58</v>
      </c>
      <c r="E2037" s="38"/>
      <c r="F2037" s="69">
        <f>D2037*E2037</f>
        <v>0</v>
      </c>
    </row>
    <row r="2038" ht="15.95" customHeight="1" spans="1:6">
      <c r="A2038" s="7"/>
      <c r="B2038" s="7" t="s">
        <v>849</v>
      </c>
      <c r="C2038" s="231">
        <f>C2001</f>
        <v>0.09</v>
      </c>
      <c r="D2038" s="283"/>
      <c r="E2038" s="34">
        <f>F2009+F2028+F2029+F2030</f>
        <v>48055.643239075</v>
      </c>
      <c r="F2038" s="34">
        <f>C2038*E2038</f>
        <v>4325.00789151675</v>
      </c>
    </row>
    <row r="2039" ht="15.95" customHeight="1" spans="1:6">
      <c r="A2039" s="7"/>
      <c r="B2039" s="7" t="s">
        <v>850</v>
      </c>
      <c r="C2039" s="231"/>
      <c r="D2039" s="283"/>
      <c r="E2039" s="34"/>
      <c r="F2039" s="34">
        <f>(E2038+F2038)*取费表!H7</f>
        <v>1571.41953391775</v>
      </c>
    </row>
    <row r="2040" ht="15.95" customHeight="1" spans="1:6">
      <c r="A2040" s="7"/>
      <c r="B2040" s="7" t="s">
        <v>156</v>
      </c>
      <c r="C2040" s="8"/>
      <c r="D2040" s="283"/>
      <c r="E2040" s="283"/>
      <c r="F2040" s="34">
        <f>E2038+F2038+F2039</f>
        <v>53952.0706645095</v>
      </c>
    </row>
    <row r="2041" ht="15.95" customHeight="1" spans="1:6">
      <c r="A2041" s="7"/>
      <c r="B2041" s="7"/>
      <c r="C2041" s="8"/>
      <c r="D2041" s="283"/>
      <c r="E2041" s="283"/>
      <c r="F2041" s="34"/>
    </row>
    <row r="2042" ht="15.95" customHeight="1" spans="1:6">
      <c r="A2042" s="7"/>
      <c r="B2042" s="7"/>
      <c r="C2042" s="8"/>
      <c r="D2042" s="283"/>
      <c r="E2042" s="283"/>
      <c r="F2042" s="34"/>
    </row>
    <row r="2043" ht="15.95" customHeight="1" spans="1:6">
      <c r="A2043" s="7"/>
      <c r="B2043" s="7"/>
      <c r="C2043" s="8"/>
      <c r="D2043" s="283"/>
      <c r="E2043" s="283"/>
      <c r="F2043" s="34"/>
    </row>
    <row r="2044" ht="15.95" customHeight="1" spans="1:6">
      <c r="A2044" s="7"/>
      <c r="B2044" s="7"/>
      <c r="C2044" s="8"/>
      <c r="D2044" s="283"/>
      <c r="E2044" s="283"/>
      <c r="F2044" s="34"/>
    </row>
    <row r="2045" ht="15.95" customHeight="1" spans="1:6">
      <c r="A2045" s="7"/>
      <c r="B2045" s="7"/>
      <c r="C2045" s="8"/>
      <c r="D2045" s="283"/>
      <c r="E2045" s="283"/>
      <c r="F2045" s="34"/>
    </row>
    <row r="2046" ht="15.95" customHeight="1" spans="1:6">
      <c r="A2046" s="7"/>
      <c r="B2046" s="7"/>
      <c r="C2046" s="8"/>
      <c r="D2046" s="283"/>
      <c r="E2046" s="283"/>
      <c r="F2046" s="34"/>
    </row>
    <row r="2047" ht="15" customHeight="1" spans="1:6">
      <c r="A2047" s="237" t="s">
        <v>881</v>
      </c>
      <c r="B2047" s="284"/>
      <c r="C2047" s="284"/>
      <c r="D2047" s="284"/>
      <c r="E2047" s="284"/>
      <c r="F2047" s="284"/>
    </row>
    <row r="2048" ht="15" customHeight="1" spans="1:6">
      <c r="A2048" s="285" t="s">
        <v>1064</v>
      </c>
      <c r="B2048" s="286"/>
      <c r="C2048" s="286"/>
      <c r="D2048" s="286"/>
      <c r="E2048" s="286"/>
      <c r="F2048" s="286"/>
    </row>
    <row r="2049" ht="15" customHeight="1" spans="1:6">
      <c r="A2049" s="227" t="s">
        <v>1065</v>
      </c>
      <c r="B2049" s="228"/>
      <c r="C2049" s="272"/>
      <c r="D2049" s="272"/>
      <c r="E2049" s="228" t="s">
        <v>832</v>
      </c>
      <c r="F2049" s="228"/>
    </row>
    <row r="2050" ht="15" customHeight="1" spans="1:6">
      <c r="A2050" s="146" t="s">
        <v>911</v>
      </c>
      <c r="B2050" s="233"/>
      <c r="C2050" s="233"/>
      <c r="D2050" s="233"/>
      <c r="E2050" s="233"/>
      <c r="F2050" s="147"/>
    </row>
    <row r="2051" ht="15" customHeight="1" spans="1:6">
      <c r="A2051" s="7" t="s">
        <v>104</v>
      </c>
      <c r="B2051" s="7" t="s">
        <v>835</v>
      </c>
      <c r="C2051" s="7" t="s">
        <v>159</v>
      </c>
      <c r="D2051" s="7" t="s">
        <v>422</v>
      </c>
      <c r="E2051" s="7" t="s">
        <v>160</v>
      </c>
      <c r="F2051" s="7" t="s">
        <v>18</v>
      </c>
    </row>
    <row r="2052" ht="15" customHeight="1" spans="1:6">
      <c r="A2052" s="7" t="s">
        <v>836</v>
      </c>
      <c r="B2052" s="7" t="s">
        <v>837</v>
      </c>
      <c r="C2052" s="7"/>
      <c r="D2052" s="7"/>
      <c r="E2052" s="7"/>
      <c r="F2052" s="34">
        <f>F2053+F2077+F2078</f>
        <v>49949.1390719397</v>
      </c>
    </row>
    <row r="2053" ht="15" customHeight="1" spans="1:6">
      <c r="A2053" s="7" t="s">
        <v>539</v>
      </c>
      <c r="B2053" s="7" t="s">
        <v>838</v>
      </c>
      <c r="C2053" s="7"/>
      <c r="D2053" s="7"/>
      <c r="E2053" s="7"/>
      <c r="F2053" s="34">
        <f>F2054+F2057+F2067+F2074</f>
        <v>47661.3922442172</v>
      </c>
    </row>
    <row r="2054" ht="15" customHeight="1" spans="1:6">
      <c r="A2054" s="7">
        <v>1</v>
      </c>
      <c r="B2054" s="7" t="s">
        <v>839</v>
      </c>
      <c r="C2054" s="7" t="s">
        <v>840</v>
      </c>
      <c r="D2054" s="34"/>
      <c r="E2054" s="42">
        <f>SUM(E2055:E2056)</f>
        <v>1584.7</v>
      </c>
      <c r="F2054" s="69">
        <f>SUM(F2055:F2056)</f>
        <v>11728.388</v>
      </c>
    </row>
    <row r="2055" ht="15" customHeight="1" spans="1:6">
      <c r="A2055" s="7"/>
      <c r="B2055" s="7" t="s">
        <v>841</v>
      </c>
      <c r="C2055" s="7" t="s">
        <v>840</v>
      </c>
      <c r="D2055" s="69">
        <f>材料预算价!K29</f>
        <v>8.1</v>
      </c>
      <c r="E2055" s="42">
        <v>1109.3</v>
      </c>
      <c r="F2055" s="69">
        <f>D2055*E2055</f>
        <v>8985.33</v>
      </c>
    </row>
    <row r="2056" ht="15" customHeight="1" spans="1:6">
      <c r="A2056" s="7"/>
      <c r="B2056" s="7" t="s">
        <v>842</v>
      </c>
      <c r="C2056" s="7" t="s">
        <v>840</v>
      </c>
      <c r="D2056" s="69">
        <f>材料预算价!K28</f>
        <v>5.77</v>
      </c>
      <c r="E2056" s="42">
        <v>475.4</v>
      </c>
      <c r="F2056" s="69">
        <f>D2056*E2056</f>
        <v>2743.058</v>
      </c>
    </row>
    <row r="2057" ht="15" customHeight="1" spans="1:6">
      <c r="A2057" s="7">
        <v>2</v>
      </c>
      <c r="B2057" s="7" t="s">
        <v>912</v>
      </c>
      <c r="C2057" s="7"/>
      <c r="D2057" s="34"/>
      <c r="E2057" s="34"/>
      <c r="F2057" s="34">
        <f>SUM(F2058:F2066)</f>
        <v>32791.3668859</v>
      </c>
    </row>
    <row r="2058" ht="15" customHeight="1" spans="1:6">
      <c r="A2058" s="7"/>
      <c r="B2058" s="273" t="s">
        <v>996</v>
      </c>
      <c r="C2058" s="273" t="s">
        <v>169</v>
      </c>
      <c r="D2058" s="34">
        <f>D1972</f>
        <v>2238.008025</v>
      </c>
      <c r="E2058" s="34">
        <v>2.8</v>
      </c>
      <c r="F2058" s="34">
        <f t="shared" ref="F2058:F2065" si="140">D2058*E2058</f>
        <v>6266.42247</v>
      </c>
    </row>
    <row r="2059" ht="15" customHeight="1" spans="1:6">
      <c r="A2059" s="7"/>
      <c r="B2059" s="273" t="s">
        <v>1066</v>
      </c>
      <c r="C2059" s="273" t="s">
        <v>863</v>
      </c>
      <c r="D2059" s="34">
        <f>基础材料表!D34</f>
        <v>4.44</v>
      </c>
      <c r="E2059" s="34">
        <v>116.3</v>
      </c>
      <c r="F2059" s="34">
        <f t="shared" si="140"/>
        <v>516.372</v>
      </c>
    </row>
    <row r="2060" ht="15" customHeight="1" spans="1:6">
      <c r="A2060" s="7"/>
      <c r="B2060" s="273" t="s">
        <v>998</v>
      </c>
      <c r="C2060" s="273" t="s">
        <v>863</v>
      </c>
      <c r="D2060" s="34">
        <f>基础材料表!D30</f>
        <v>4.5</v>
      </c>
      <c r="E2060" s="34">
        <v>277.8</v>
      </c>
      <c r="F2060" s="34">
        <f t="shared" si="140"/>
        <v>1250.1</v>
      </c>
    </row>
    <row r="2061" ht="15" customHeight="1" spans="1:6">
      <c r="A2061" s="7"/>
      <c r="B2061" s="273" t="s">
        <v>999</v>
      </c>
      <c r="C2061" s="273" t="s">
        <v>863</v>
      </c>
      <c r="D2061" s="34">
        <f>基础材料表!D16</f>
        <v>5.15</v>
      </c>
      <c r="E2061" s="34">
        <v>373</v>
      </c>
      <c r="F2061" s="34">
        <f t="shared" si="140"/>
        <v>1920.95</v>
      </c>
    </row>
    <row r="2062" ht="15" customHeight="1" spans="1:6">
      <c r="A2062" s="7"/>
      <c r="B2062" s="273" t="s">
        <v>1001</v>
      </c>
      <c r="C2062" s="273" t="s">
        <v>863</v>
      </c>
      <c r="D2062" s="34">
        <f>基础材料表!D32</f>
        <v>6.39</v>
      </c>
      <c r="E2062" s="34">
        <v>509.2</v>
      </c>
      <c r="F2062" s="34">
        <f t="shared" si="140"/>
        <v>3253.788</v>
      </c>
    </row>
    <row r="2063" ht="15" customHeight="1" spans="1:6">
      <c r="A2063" s="7"/>
      <c r="B2063" s="273" t="s">
        <v>1002</v>
      </c>
      <c r="C2063" s="273" t="s">
        <v>863</v>
      </c>
      <c r="D2063" s="34">
        <f>基础材料表!D5</f>
        <v>5.97</v>
      </c>
      <c r="E2063" s="34">
        <v>0.92</v>
      </c>
      <c r="F2063" s="34">
        <f t="shared" si="140"/>
        <v>5.4924</v>
      </c>
    </row>
    <row r="2064" ht="15" customHeight="1" spans="1:6">
      <c r="A2064" s="7"/>
      <c r="B2064" s="7" t="s">
        <v>1067</v>
      </c>
      <c r="C2064" s="7" t="s">
        <v>169</v>
      </c>
      <c r="D2064" s="34">
        <f>配合比!M10</f>
        <v>183.2481895</v>
      </c>
      <c r="E2064" s="34">
        <v>103</v>
      </c>
      <c r="F2064" s="34">
        <f t="shared" si="140"/>
        <v>18874.5635185</v>
      </c>
    </row>
    <row r="2065" ht="15" customHeight="1" spans="1:6">
      <c r="A2065" s="7"/>
      <c r="B2065" s="7" t="s">
        <v>913</v>
      </c>
      <c r="C2065" s="7" t="s">
        <v>169</v>
      </c>
      <c r="D2065" s="34">
        <f>材料预算价!K13</f>
        <v>3.59</v>
      </c>
      <c r="E2065" s="34">
        <v>120</v>
      </c>
      <c r="F2065" s="34">
        <f t="shared" si="140"/>
        <v>430.8</v>
      </c>
    </row>
    <row r="2066" ht="15" customHeight="1" spans="1:6">
      <c r="A2066" s="7"/>
      <c r="B2066" s="7" t="s">
        <v>1004</v>
      </c>
      <c r="C2066" s="9" t="s">
        <v>845</v>
      </c>
      <c r="D2066" s="34">
        <f>F2058+F2059+F2060+F2061+F2062+F2063+F2065</f>
        <v>13643.92487</v>
      </c>
      <c r="E2066" s="34">
        <v>2</v>
      </c>
      <c r="F2066" s="34">
        <f>D2066*E2066/100</f>
        <v>272.8784974</v>
      </c>
    </row>
    <row r="2067" ht="15" customHeight="1" spans="1:6">
      <c r="A2067" s="7">
        <v>3</v>
      </c>
      <c r="B2067" s="7" t="s">
        <v>859</v>
      </c>
      <c r="C2067" s="7"/>
      <c r="D2067" s="34"/>
      <c r="E2067" s="34"/>
      <c r="F2067" s="34">
        <f>SUM(F2068:F2073)</f>
        <v>1149.98116692908</v>
      </c>
    </row>
    <row r="2068" ht="15" customHeight="1" spans="1:6">
      <c r="A2068" s="7"/>
      <c r="B2068" s="7" t="s">
        <v>1005</v>
      </c>
      <c r="C2068" s="7" t="s">
        <v>428</v>
      </c>
      <c r="D2068" s="34">
        <f>台时!H42</f>
        <v>49.389824491424</v>
      </c>
      <c r="E2068" s="34">
        <v>4.88</v>
      </c>
      <c r="F2068" s="34">
        <f>D2068*E2068</f>
        <v>241.022343518149</v>
      </c>
    </row>
    <row r="2069" ht="15" customHeight="1" spans="1:6">
      <c r="A2069" s="7"/>
      <c r="B2069" s="7" t="s">
        <v>1008</v>
      </c>
      <c r="C2069" s="7" t="s">
        <v>428</v>
      </c>
      <c r="D2069" s="34">
        <f>台时!D42</f>
        <v>23.9179521340247</v>
      </c>
      <c r="E2069" s="34">
        <v>16.83</v>
      </c>
      <c r="F2069" s="34">
        <f>D2069*E2069</f>
        <v>402.539134415636</v>
      </c>
    </row>
    <row r="2070" ht="15" customHeight="1" spans="1:6">
      <c r="A2070" s="7"/>
      <c r="B2070" s="7" t="s">
        <v>1068</v>
      </c>
      <c r="C2070" s="7" t="s">
        <v>428</v>
      </c>
      <c r="D2070" s="34">
        <f>台时!C84</f>
        <v>2.41252772237734</v>
      </c>
      <c r="E2070" s="34">
        <v>18.54</v>
      </c>
      <c r="F2070" s="34">
        <f>D2070*E2070</f>
        <v>44.728263972876</v>
      </c>
    </row>
    <row r="2071" ht="15" customHeight="1" spans="1:6">
      <c r="A2071" s="7"/>
      <c r="B2071" s="273" t="s">
        <v>1069</v>
      </c>
      <c r="C2071" s="7" t="s">
        <v>428</v>
      </c>
      <c r="D2071" s="34">
        <f>台时!E84</f>
        <v>8.3371858795373</v>
      </c>
      <c r="E2071" s="251">
        <v>35.6</v>
      </c>
      <c r="F2071" s="34">
        <f>D2071*E2071</f>
        <v>296.803817311528</v>
      </c>
    </row>
    <row r="2072" ht="15" customHeight="1" spans="1:6">
      <c r="A2072" s="7"/>
      <c r="B2072" s="7" t="s">
        <v>967</v>
      </c>
      <c r="C2072" s="7" t="s">
        <v>428</v>
      </c>
      <c r="D2072" s="34">
        <f>台时!C42</f>
        <v>0.813242919824491</v>
      </c>
      <c r="E2072" s="251">
        <v>83</v>
      </c>
      <c r="F2072" s="34">
        <f>D2072*E2072</f>
        <v>67.4991623454328</v>
      </c>
    </row>
    <row r="2073" ht="15" customHeight="1" spans="1:6">
      <c r="A2073" s="7"/>
      <c r="B2073" s="7" t="s">
        <v>918</v>
      </c>
      <c r="C2073" s="9" t="s">
        <v>845</v>
      </c>
      <c r="D2073" s="34">
        <f>SUM(F2069:F2072)</f>
        <v>811.570378045473</v>
      </c>
      <c r="E2073" s="34">
        <v>12</v>
      </c>
      <c r="F2073" s="34">
        <f>D2073*E2073/100</f>
        <v>97.3884453654567</v>
      </c>
    </row>
    <row r="2074" ht="15" customHeight="1" spans="1:6">
      <c r="A2074" s="5">
        <v>4</v>
      </c>
      <c r="B2074" s="5" t="s">
        <v>1010</v>
      </c>
      <c r="C2074" s="275"/>
      <c r="D2074" s="276"/>
      <c r="E2074" s="276"/>
      <c r="F2074" s="276">
        <f>SUM(F2075:F2076)</f>
        <v>1991.65619138815</v>
      </c>
    </row>
    <row r="2075" ht="15" customHeight="1" spans="1:6">
      <c r="A2075" s="7"/>
      <c r="B2075" s="123" t="s">
        <v>681</v>
      </c>
      <c r="C2075" s="123" t="s">
        <v>169</v>
      </c>
      <c r="D2075" s="274">
        <f>$F$2795/100</f>
        <v>5.03319379720782</v>
      </c>
      <c r="E2075" s="274">
        <v>103</v>
      </c>
      <c r="F2075" s="34">
        <f>D2075*E2075</f>
        <v>518.418961112405</v>
      </c>
    </row>
    <row r="2076" ht="15" customHeight="1" spans="1:6">
      <c r="A2076" s="7"/>
      <c r="B2076" s="123" t="s">
        <v>682</v>
      </c>
      <c r="C2076" s="123" t="s">
        <v>169</v>
      </c>
      <c r="D2076" s="274">
        <f>$F$2813/100</f>
        <v>14.303274080347</v>
      </c>
      <c r="E2076" s="274">
        <v>103</v>
      </c>
      <c r="F2076" s="34">
        <f>D2076*E2076</f>
        <v>1473.23723027574</v>
      </c>
    </row>
    <row r="2077" ht="15" customHeight="1" spans="1:6">
      <c r="A2077" s="7" t="s">
        <v>564</v>
      </c>
      <c r="B2077" s="7" t="s">
        <v>846</v>
      </c>
      <c r="C2077" s="230">
        <f>取费表!$C$7</f>
        <v>0.048</v>
      </c>
      <c r="D2077" s="274"/>
      <c r="E2077" s="274">
        <f>F2053</f>
        <v>47661.3922442172</v>
      </c>
      <c r="F2077" s="34">
        <f>E2077*C2077</f>
        <v>2287.74682772243</v>
      </c>
    </row>
    <row r="2078" ht="15" customHeight="1" spans="1:6">
      <c r="A2078" s="7"/>
      <c r="B2078" s="7"/>
      <c r="C2078" s="230"/>
      <c r="D2078" s="274"/>
      <c r="E2078" s="274"/>
      <c r="F2078" s="34"/>
    </row>
    <row r="2079" ht="15" customHeight="1" spans="1:6">
      <c r="A2079" s="7" t="s">
        <v>439</v>
      </c>
      <c r="B2079" s="7" t="s">
        <v>847</v>
      </c>
      <c r="C2079" s="230">
        <f>取费表!$E$7</f>
        <v>0.07</v>
      </c>
      <c r="D2079" s="274"/>
      <c r="E2079" s="274">
        <f>F2052</f>
        <v>49949.1390719397</v>
      </c>
      <c r="F2079" s="34">
        <f>E2079*C2079</f>
        <v>3496.43973503578</v>
      </c>
    </row>
    <row r="2080" ht="15" customHeight="1" spans="1:6">
      <c r="A2080" s="7" t="s">
        <v>83</v>
      </c>
      <c r="B2080" s="7" t="s">
        <v>848</v>
      </c>
      <c r="C2080" s="230">
        <f>取费表!$F$7</f>
        <v>0.07</v>
      </c>
      <c r="D2080" s="274"/>
      <c r="E2080" s="274">
        <f>F2079+F2052</f>
        <v>53445.5788069754</v>
      </c>
      <c r="F2080" s="34">
        <f>E2080*C2080</f>
        <v>3741.19051648828</v>
      </c>
    </row>
    <row r="2081" ht="15" customHeight="1" spans="1:6">
      <c r="A2081" s="5" t="s">
        <v>121</v>
      </c>
      <c r="B2081" s="5" t="s">
        <v>861</v>
      </c>
      <c r="C2081" s="275"/>
      <c r="D2081" s="276"/>
      <c r="E2081" s="5"/>
      <c r="F2081" s="277">
        <f>F2082+F2087</f>
        <v>9563.83351143604</v>
      </c>
    </row>
    <row r="2082" ht="15" customHeight="1" spans="1:6">
      <c r="A2082" s="7">
        <v>1</v>
      </c>
      <c r="B2082" s="7" t="s">
        <v>1011</v>
      </c>
      <c r="C2082" s="9"/>
      <c r="D2082" s="34"/>
      <c r="E2082" s="7"/>
      <c r="F2082" s="69">
        <f>SUM(F2083:F2086)</f>
        <v>9355.65271143604</v>
      </c>
    </row>
    <row r="2083" ht="15" customHeight="1" spans="1:6">
      <c r="A2083" s="7"/>
      <c r="B2083" s="7"/>
      <c r="C2083" s="7"/>
      <c r="D2083" s="34"/>
      <c r="E2083" s="34"/>
      <c r="F2083" s="69"/>
    </row>
    <row r="2084" ht="15" customHeight="1" spans="1:6">
      <c r="A2084" s="7"/>
      <c r="B2084" s="7" t="s">
        <v>979</v>
      </c>
      <c r="C2084" s="7" t="s">
        <v>200</v>
      </c>
      <c r="D2084" s="34">
        <f>D2130</f>
        <v>141.58936</v>
      </c>
      <c r="E2084" s="34">
        <f>E2064*配合比!E10</f>
        <v>35.035759</v>
      </c>
      <c r="F2084" s="69">
        <f>D2084*E2084</f>
        <v>4960.69069392424</v>
      </c>
    </row>
    <row r="2085" ht="15" customHeight="1" spans="1:6">
      <c r="A2085" s="7"/>
      <c r="B2085" s="7" t="s">
        <v>961</v>
      </c>
      <c r="C2085" s="7" t="s">
        <v>169</v>
      </c>
      <c r="D2085" s="34">
        <f>D1996</f>
        <v>34.366056</v>
      </c>
      <c r="E2085" s="34">
        <f>E2064*配合比!G10</f>
        <v>54.40666</v>
      </c>
      <c r="F2085" s="69">
        <f>D2085*E2085</f>
        <v>1869.74232433296</v>
      </c>
    </row>
    <row r="2086" ht="15" customHeight="1" spans="1:6">
      <c r="A2086" s="7"/>
      <c r="B2086" s="7" t="s">
        <v>1012</v>
      </c>
      <c r="C2086" s="7" t="s">
        <v>169</v>
      </c>
      <c r="D2086" s="34">
        <f>D2132</f>
        <v>29.13701</v>
      </c>
      <c r="E2086" s="34">
        <f>E2064*配合比!I10</f>
        <v>86.667084</v>
      </c>
      <c r="F2086" s="69">
        <f>D2086*E2086</f>
        <v>2525.21969317884</v>
      </c>
    </row>
    <row r="2087" ht="15" customHeight="1" spans="1:6">
      <c r="A2087" s="7">
        <v>2</v>
      </c>
      <c r="B2087" s="7" t="s">
        <v>1013</v>
      </c>
      <c r="C2087" s="7"/>
      <c r="D2087" s="34"/>
      <c r="E2087" s="38"/>
      <c r="F2087" s="69">
        <f>SUM(F2088:F2089)</f>
        <v>208.1808</v>
      </c>
    </row>
    <row r="2088" ht="15" customHeight="1" spans="1:6">
      <c r="A2088" s="7"/>
      <c r="B2088" s="7" t="s">
        <v>1014</v>
      </c>
      <c r="C2088" s="7" t="s">
        <v>863</v>
      </c>
      <c r="D2088" s="34">
        <f>D1999</f>
        <v>5.925</v>
      </c>
      <c r="E2088" s="38">
        <f>(E2068*7.2+E2069*0)</f>
        <v>35.136</v>
      </c>
      <c r="F2088" s="69">
        <f>D2088*E2088</f>
        <v>208.1808</v>
      </c>
    </row>
    <row r="2089" ht="15" customHeight="1" spans="1:6">
      <c r="A2089" s="7"/>
      <c r="B2089" s="7" t="s">
        <v>862</v>
      </c>
      <c r="C2089" s="7" t="s">
        <v>863</v>
      </c>
      <c r="D2089" s="34">
        <f>D2000</f>
        <v>4.58</v>
      </c>
      <c r="E2089" s="38"/>
      <c r="F2089" s="69">
        <f>D2089*E2089</f>
        <v>0</v>
      </c>
    </row>
    <row r="2090" ht="15" customHeight="1" spans="1:6">
      <c r="A2090" s="7" t="s">
        <v>135</v>
      </c>
      <c r="B2090" s="7" t="s">
        <v>849</v>
      </c>
      <c r="C2090" s="231">
        <f>C2001</f>
        <v>0.09</v>
      </c>
      <c r="D2090" s="34"/>
      <c r="E2090" s="34">
        <f>F2081+F2080+F2079+F2052</f>
        <v>66750.6028348998</v>
      </c>
      <c r="F2090" s="34">
        <f>E2090*C2090</f>
        <v>6007.55425514098</v>
      </c>
    </row>
    <row r="2091" ht="15" customHeight="1" spans="1:6">
      <c r="A2091" s="7"/>
      <c r="B2091" s="7" t="s">
        <v>850</v>
      </c>
      <c r="C2091" s="231"/>
      <c r="D2091" s="34"/>
      <c r="E2091" s="34"/>
      <c r="F2091" s="34">
        <f>(F2052+F2079+F2080+F2081+F2090)*取费表!H4</f>
        <v>2182.74471270122</v>
      </c>
    </row>
    <row r="2092" ht="15" customHeight="1" spans="1:6">
      <c r="A2092" s="7"/>
      <c r="B2092" s="7" t="s">
        <v>156</v>
      </c>
      <c r="C2092" s="7"/>
      <c r="D2092" s="34"/>
      <c r="E2092" s="34"/>
      <c r="F2092" s="34">
        <f>F2090+E2090+F2091</f>
        <v>74940.901802742</v>
      </c>
    </row>
    <row r="2093" ht="15" customHeight="1" spans="1:6">
      <c r="A2093" s="248" t="s">
        <v>881</v>
      </c>
      <c r="B2093" s="225"/>
      <c r="C2093" s="225"/>
      <c r="D2093" s="225"/>
      <c r="E2093" s="225"/>
      <c r="F2093" s="225"/>
    </row>
    <row r="2094" ht="15" customHeight="1" spans="1:6">
      <c r="A2094" s="278" t="s">
        <v>1070</v>
      </c>
      <c r="B2094" s="272"/>
      <c r="C2094" s="272"/>
      <c r="D2094" s="272"/>
      <c r="E2094" s="272"/>
      <c r="F2094" s="272"/>
    </row>
    <row r="2095" ht="15" customHeight="1" spans="1:6">
      <c r="A2095" s="227" t="s">
        <v>1065</v>
      </c>
      <c r="B2095" s="228"/>
      <c r="C2095" s="272"/>
      <c r="D2095" s="272"/>
      <c r="E2095" s="228" t="s">
        <v>832</v>
      </c>
      <c r="F2095" s="228"/>
    </row>
    <row r="2096" ht="15" customHeight="1" spans="1:6">
      <c r="A2096" s="146" t="s">
        <v>911</v>
      </c>
      <c r="B2096" s="233"/>
      <c r="C2096" s="233"/>
      <c r="D2096" s="233"/>
      <c r="E2096" s="233"/>
      <c r="F2096" s="147"/>
    </row>
    <row r="2097" ht="15" customHeight="1" spans="1:6">
      <c r="A2097" s="7" t="s">
        <v>104</v>
      </c>
      <c r="B2097" s="7" t="s">
        <v>835</v>
      </c>
      <c r="C2097" s="7" t="s">
        <v>159</v>
      </c>
      <c r="D2097" s="7" t="s">
        <v>422</v>
      </c>
      <c r="E2097" s="7" t="s">
        <v>160</v>
      </c>
      <c r="F2097" s="7" t="s">
        <v>18</v>
      </c>
    </row>
    <row r="2098" ht="15" customHeight="1" spans="1:6">
      <c r="A2098" s="7" t="s">
        <v>836</v>
      </c>
      <c r="B2098" s="7" t="s">
        <v>837</v>
      </c>
      <c r="C2098" s="7"/>
      <c r="D2098" s="7"/>
      <c r="E2098" s="7"/>
      <c r="F2098" s="34">
        <f>F2099+F2123+F2124</f>
        <v>49235.2214983405</v>
      </c>
    </row>
    <row r="2099" ht="15" customHeight="1" spans="1:6">
      <c r="A2099" s="7" t="s">
        <v>539</v>
      </c>
      <c r="B2099" s="7" t="s">
        <v>838</v>
      </c>
      <c r="C2099" s="7"/>
      <c r="D2099" s="7"/>
      <c r="E2099" s="7"/>
      <c r="F2099" s="34">
        <f>F2100+F2103+F2113+F2120</f>
        <v>46980.1731854394</v>
      </c>
    </row>
    <row r="2100" ht="15" customHeight="1" spans="1:6">
      <c r="A2100" s="7">
        <v>1</v>
      </c>
      <c r="B2100" s="7" t="s">
        <v>839</v>
      </c>
      <c r="C2100" s="7" t="s">
        <v>840</v>
      </c>
      <c r="D2100" s="34"/>
      <c r="E2100" s="42">
        <f>SUM(E2101:E2102)</f>
        <v>1584.7</v>
      </c>
      <c r="F2100" s="69">
        <f>SUM(F2101:F2102)</f>
        <v>11728.388</v>
      </c>
    </row>
    <row r="2101" s="217" customFormat="1" ht="15" customHeight="1" spans="1:6">
      <c r="A2101" s="7"/>
      <c r="B2101" s="7" t="s">
        <v>841</v>
      </c>
      <c r="C2101" s="7" t="s">
        <v>840</v>
      </c>
      <c r="D2101" s="69">
        <f>材料预算价!K29</f>
        <v>8.1</v>
      </c>
      <c r="E2101" s="42">
        <v>1109.3</v>
      </c>
      <c r="F2101" s="69">
        <f>D2101*E2101</f>
        <v>8985.33</v>
      </c>
    </row>
    <row r="2102" s="217" customFormat="1" ht="15" customHeight="1" spans="1:6">
      <c r="A2102" s="7"/>
      <c r="B2102" s="7" t="s">
        <v>842</v>
      </c>
      <c r="C2102" s="7" t="s">
        <v>840</v>
      </c>
      <c r="D2102" s="69">
        <f>材料预算价!K28</f>
        <v>5.77</v>
      </c>
      <c r="E2102" s="42">
        <v>475.4</v>
      </c>
      <c r="F2102" s="69">
        <f>D2102*E2102</f>
        <v>2743.058</v>
      </c>
    </row>
    <row r="2103" ht="15" customHeight="1" spans="1:6">
      <c r="A2103" s="7">
        <v>2</v>
      </c>
      <c r="B2103" s="7" t="s">
        <v>912</v>
      </c>
      <c r="C2103" s="7"/>
      <c r="D2103" s="34"/>
      <c r="E2103" s="34"/>
      <c r="F2103" s="34">
        <f>SUM(F2104:F2112)</f>
        <v>32081.2251459</v>
      </c>
    </row>
    <row r="2104" ht="15" customHeight="1" spans="1:6">
      <c r="A2104" s="7"/>
      <c r="B2104" s="273" t="s">
        <v>996</v>
      </c>
      <c r="C2104" s="273" t="s">
        <v>169</v>
      </c>
      <c r="D2104" s="34">
        <f t="shared" ref="D2104:D2109" si="141">D2058</f>
        <v>2238.008025</v>
      </c>
      <c r="E2104" s="34">
        <v>2.8</v>
      </c>
      <c r="F2104" s="34">
        <f t="shared" ref="F2104:F2111" si="142">D2104*E2104</f>
        <v>6266.42247</v>
      </c>
    </row>
    <row r="2105" ht="15" customHeight="1" spans="1:6">
      <c r="A2105" s="7"/>
      <c r="B2105" s="273" t="s">
        <v>1066</v>
      </c>
      <c r="C2105" s="273" t="s">
        <v>863</v>
      </c>
      <c r="D2105" s="34">
        <f t="shared" si="141"/>
        <v>4.44</v>
      </c>
      <c r="E2105" s="34">
        <v>116.3</v>
      </c>
      <c r="F2105" s="34">
        <f t="shared" si="142"/>
        <v>516.372</v>
      </c>
    </row>
    <row r="2106" ht="15" customHeight="1" spans="1:6">
      <c r="A2106" s="7"/>
      <c r="B2106" s="273" t="s">
        <v>998</v>
      </c>
      <c r="C2106" s="273" t="s">
        <v>863</v>
      </c>
      <c r="D2106" s="34">
        <f t="shared" si="141"/>
        <v>4.5</v>
      </c>
      <c r="E2106" s="34">
        <v>277.8</v>
      </c>
      <c r="F2106" s="34">
        <f t="shared" si="142"/>
        <v>1250.1</v>
      </c>
    </row>
    <row r="2107" ht="15" customHeight="1" spans="1:6">
      <c r="A2107" s="7"/>
      <c r="B2107" s="273" t="s">
        <v>999</v>
      </c>
      <c r="C2107" s="273" t="s">
        <v>863</v>
      </c>
      <c r="D2107" s="34">
        <f t="shared" si="141"/>
        <v>5.15</v>
      </c>
      <c r="E2107" s="34">
        <v>373</v>
      </c>
      <c r="F2107" s="34">
        <f t="shared" si="142"/>
        <v>1920.95</v>
      </c>
    </row>
    <row r="2108" ht="15" customHeight="1" spans="1:6">
      <c r="A2108" s="7"/>
      <c r="B2108" s="273" t="s">
        <v>1001</v>
      </c>
      <c r="C2108" s="273" t="s">
        <v>863</v>
      </c>
      <c r="D2108" s="34">
        <f t="shared" si="141"/>
        <v>6.39</v>
      </c>
      <c r="E2108" s="34">
        <v>509.2</v>
      </c>
      <c r="F2108" s="34">
        <f t="shared" si="142"/>
        <v>3253.788</v>
      </c>
    </row>
    <row r="2109" ht="15" customHeight="1" spans="1:6">
      <c r="A2109" s="7"/>
      <c r="B2109" s="273" t="s">
        <v>1002</v>
      </c>
      <c r="C2109" s="273" t="s">
        <v>863</v>
      </c>
      <c r="D2109" s="34">
        <f t="shared" si="141"/>
        <v>5.97</v>
      </c>
      <c r="E2109" s="34">
        <v>0.92</v>
      </c>
      <c r="F2109" s="34">
        <f t="shared" si="142"/>
        <v>5.4924</v>
      </c>
    </row>
    <row r="2110" ht="15" customHeight="1" spans="1:6">
      <c r="A2110" s="7"/>
      <c r="B2110" s="7" t="s">
        <v>1003</v>
      </c>
      <c r="C2110" s="7" t="s">
        <v>169</v>
      </c>
      <c r="D2110" s="34">
        <f>配合比!M8</f>
        <v>176.3536095</v>
      </c>
      <c r="E2110" s="34">
        <v>103</v>
      </c>
      <c r="F2110" s="34">
        <f t="shared" si="142"/>
        <v>18164.4217785</v>
      </c>
    </row>
    <row r="2111" ht="15" customHeight="1" spans="1:6">
      <c r="A2111" s="7"/>
      <c r="B2111" s="7" t="s">
        <v>913</v>
      </c>
      <c r="C2111" s="7" t="s">
        <v>169</v>
      </c>
      <c r="D2111" s="34">
        <f>材料预算价!K13</f>
        <v>3.59</v>
      </c>
      <c r="E2111" s="34">
        <v>120</v>
      </c>
      <c r="F2111" s="34">
        <f t="shared" si="142"/>
        <v>430.8</v>
      </c>
    </row>
    <row r="2112" ht="15" customHeight="1" spans="1:6">
      <c r="A2112" s="7"/>
      <c r="B2112" s="7" t="s">
        <v>1004</v>
      </c>
      <c r="C2112" s="9" t="s">
        <v>845</v>
      </c>
      <c r="D2112" s="34">
        <f>F2104+F2105+F2106+F2107+F2108+F2109+F2111</f>
        <v>13643.92487</v>
      </c>
      <c r="E2112" s="34">
        <v>2</v>
      </c>
      <c r="F2112" s="34">
        <f>D2112*E2112/100</f>
        <v>272.8784974</v>
      </c>
    </row>
    <row r="2113" ht="15" customHeight="1" spans="1:6">
      <c r="A2113" s="7">
        <v>3</v>
      </c>
      <c r="B2113" s="7" t="s">
        <v>859</v>
      </c>
      <c r="C2113" s="7"/>
      <c r="D2113" s="34"/>
      <c r="E2113" s="34"/>
      <c r="F2113" s="34">
        <f>SUM(F2114:F2119)</f>
        <v>1178.90384815126</v>
      </c>
    </row>
    <row r="2114" ht="15" customHeight="1" spans="1:6">
      <c r="A2114" s="7"/>
      <c r="B2114" s="7" t="s">
        <v>1005</v>
      </c>
      <c r="C2114" s="7" t="s">
        <v>428</v>
      </c>
      <c r="D2114" s="34">
        <f>D2068</f>
        <v>49.389824491424</v>
      </c>
      <c r="E2114" s="34">
        <v>4.88</v>
      </c>
      <c r="F2114" s="34">
        <f>D2114*E2114</f>
        <v>241.022343518149</v>
      </c>
    </row>
    <row r="2115" ht="15" customHeight="1" spans="1:6">
      <c r="A2115" s="7"/>
      <c r="B2115" s="7" t="s">
        <v>1008</v>
      </c>
      <c r="C2115" s="7" t="s">
        <v>428</v>
      </c>
      <c r="D2115" s="34">
        <f>D2069</f>
        <v>23.9179521340247</v>
      </c>
      <c r="E2115" s="34">
        <v>16.83</v>
      </c>
      <c r="F2115" s="34">
        <f>D2115*E2115</f>
        <v>402.539134415636</v>
      </c>
    </row>
    <row r="2116" ht="15" customHeight="1" spans="1:6">
      <c r="A2116" s="7"/>
      <c r="B2116" s="7" t="s">
        <v>1068</v>
      </c>
      <c r="C2116" s="7" t="s">
        <v>428</v>
      </c>
      <c r="D2116" s="34">
        <f>D2070</f>
        <v>2.41252772237734</v>
      </c>
      <c r="E2116" s="34">
        <v>18.54</v>
      </c>
      <c r="F2116" s="34">
        <f>D2116*E2116</f>
        <v>44.728263972876</v>
      </c>
    </row>
    <row r="2117" ht="15" customHeight="1" spans="1:6">
      <c r="A2117" s="7"/>
      <c r="B2117" s="273" t="s">
        <v>1069</v>
      </c>
      <c r="C2117" s="7" t="s">
        <v>428</v>
      </c>
      <c r="D2117" s="34">
        <f>D2071</f>
        <v>8.3371858795373</v>
      </c>
      <c r="E2117" s="251">
        <v>35.6</v>
      </c>
      <c r="F2117" s="34">
        <f>D2117*E2117</f>
        <v>296.803817311528</v>
      </c>
    </row>
    <row r="2118" ht="15" customHeight="1" spans="1:6">
      <c r="A2118" s="7"/>
      <c r="B2118" s="7" t="s">
        <v>967</v>
      </c>
      <c r="C2118" s="7" t="s">
        <v>428</v>
      </c>
      <c r="D2118" s="34">
        <f>D2072</f>
        <v>0.813242919824491</v>
      </c>
      <c r="E2118" s="251">
        <v>83</v>
      </c>
      <c r="F2118" s="34">
        <f>D2118*E2118</f>
        <v>67.4991623454328</v>
      </c>
    </row>
    <row r="2119" ht="15" customHeight="1" spans="1:6">
      <c r="A2119" s="7"/>
      <c r="B2119" s="7" t="s">
        <v>918</v>
      </c>
      <c r="C2119" s="9" t="s">
        <v>845</v>
      </c>
      <c r="D2119" s="34">
        <f>SUM(F2114:F2118)</f>
        <v>1052.59272156362</v>
      </c>
      <c r="E2119" s="34">
        <v>12</v>
      </c>
      <c r="F2119" s="34">
        <f>D2119*E2119/100</f>
        <v>126.311126587635</v>
      </c>
    </row>
    <row r="2120" s="219" customFormat="1" ht="15" customHeight="1" spans="1:6">
      <c r="A2120" s="5">
        <v>4</v>
      </c>
      <c r="B2120" s="5" t="s">
        <v>1010</v>
      </c>
      <c r="C2120" s="275"/>
      <c r="D2120" s="276"/>
      <c r="E2120" s="276"/>
      <c r="F2120" s="276">
        <f>SUM(F2121:F2122)</f>
        <v>1991.65619138815</v>
      </c>
    </row>
    <row r="2121" s="216" customFormat="1" ht="15" customHeight="1" spans="1:6">
      <c r="A2121" s="7"/>
      <c r="B2121" s="123" t="s">
        <v>681</v>
      </c>
      <c r="C2121" s="123" t="s">
        <v>169</v>
      </c>
      <c r="D2121" s="274">
        <f>$F$2795/100</f>
        <v>5.03319379720782</v>
      </c>
      <c r="E2121" s="274">
        <v>103</v>
      </c>
      <c r="F2121" s="34">
        <f>D2121*E2121</f>
        <v>518.418961112405</v>
      </c>
    </row>
    <row r="2122" s="216" customFormat="1" ht="15" customHeight="1" spans="1:6">
      <c r="A2122" s="7"/>
      <c r="B2122" s="123" t="s">
        <v>682</v>
      </c>
      <c r="C2122" s="123" t="s">
        <v>169</v>
      </c>
      <c r="D2122" s="274">
        <f>$F$2813/100</f>
        <v>14.303274080347</v>
      </c>
      <c r="E2122" s="274">
        <v>103</v>
      </c>
      <c r="F2122" s="34">
        <f>D2122*E2122</f>
        <v>1473.23723027574</v>
      </c>
    </row>
    <row r="2123" s="216" customFormat="1" ht="15" customHeight="1" spans="1:6">
      <c r="A2123" s="7" t="s">
        <v>564</v>
      </c>
      <c r="B2123" s="7" t="s">
        <v>846</v>
      </c>
      <c r="C2123" s="230">
        <f>取费表!$C$7</f>
        <v>0.048</v>
      </c>
      <c r="D2123" s="274"/>
      <c r="E2123" s="274">
        <f>F2099</f>
        <v>46980.1731854394</v>
      </c>
      <c r="F2123" s="34">
        <f>E2123*C2123</f>
        <v>2255.04831290109</v>
      </c>
    </row>
    <row r="2124" s="216" customFormat="1" ht="15" customHeight="1" spans="1:6">
      <c r="A2124" s="7"/>
      <c r="B2124" s="7"/>
      <c r="C2124" s="230"/>
      <c r="D2124" s="274"/>
      <c r="E2124" s="274"/>
      <c r="F2124" s="34"/>
    </row>
    <row r="2125" s="216" customFormat="1" ht="15" customHeight="1" spans="1:6">
      <c r="A2125" s="7" t="s">
        <v>439</v>
      </c>
      <c r="B2125" s="7" t="s">
        <v>847</v>
      </c>
      <c r="C2125" s="230">
        <f>取费表!$E$7</f>
        <v>0.07</v>
      </c>
      <c r="D2125" s="274"/>
      <c r="E2125" s="274">
        <f>F2098</f>
        <v>49235.2214983405</v>
      </c>
      <c r="F2125" s="34">
        <f>E2125*C2125</f>
        <v>3446.46550488384</v>
      </c>
    </row>
    <row r="2126" s="216" customFormat="1" ht="15" customHeight="1" spans="1:6">
      <c r="A2126" s="7" t="s">
        <v>83</v>
      </c>
      <c r="B2126" s="7" t="s">
        <v>848</v>
      </c>
      <c r="C2126" s="230">
        <f>取费表!$F$7</f>
        <v>0.07</v>
      </c>
      <c r="D2126" s="274"/>
      <c r="E2126" s="274">
        <f>F2125+F2098</f>
        <v>52681.6870032243</v>
      </c>
      <c r="F2126" s="34">
        <f>E2126*C2126</f>
        <v>3687.7180902257</v>
      </c>
    </row>
    <row r="2127" s="220" customFormat="1" ht="15" customHeight="1" spans="1:6">
      <c r="A2127" s="5" t="s">
        <v>121</v>
      </c>
      <c r="B2127" s="5" t="s">
        <v>861</v>
      </c>
      <c r="C2127" s="275"/>
      <c r="D2127" s="276"/>
      <c r="E2127" s="5"/>
      <c r="F2127" s="277">
        <f>F2128+F2133</f>
        <v>9159.52897301364</v>
      </c>
    </row>
    <row r="2128" ht="15" customHeight="1" spans="1:6">
      <c r="A2128" s="7">
        <v>1</v>
      </c>
      <c r="B2128" s="7" t="s">
        <v>1011</v>
      </c>
      <c r="C2128" s="9"/>
      <c r="D2128" s="34"/>
      <c r="E2128" s="7"/>
      <c r="F2128" s="69">
        <f>SUM(F2129:F2132)</f>
        <v>8951.34817301364</v>
      </c>
    </row>
    <row r="2129" ht="15" customHeight="1" spans="1:6">
      <c r="A2129" s="7"/>
      <c r="B2129" s="7"/>
      <c r="C2129" s="7"/>
      <c r="D2129" s="34"/>
      <c r="E2129" s="34"/>
      <c r="F2129" s="69"/>
    </row>
    <row r="2130" ht="15" customHeight="1" spans="1:6">
      <c r="A2130" s="7"/>
      <c r="B2130" s="7" t="s">
        <v>979</v>
      </c>
      <c r="C2130" s="7" t="s">
        <v>200</v>
      </c>
      <c r="D2130" s="34">
        <f>材料预算价!K5-材料预算价!L5</f>
        <v>141.58936</v>
      </c>
      <c r="E2130" s="34">
        <f>E2110*配合比!E8</f>
        <v>31.641291</v>
      </c>
      <c r="F2130" s="69">
        <f>D2130*E2130</f>
        <v>4480.07014226376</v>
      </c>
    </row>
    <row r="2131" ht="15" customHeight="1" spans="1:6">
      <c r="A2131" s="7"/>
      <c r="B2131" s="7" t="s">
        <v>961</v>
      </c>
      <c r="C2131" s="7" t="s">
        <v>169</v>
      </c>
      <c r="D2131" s="34">
        <f>D2085</f>
        <v>34.366056</v>
      </c>
      <c r="E2131" s="34">
        <f>E2110*配合比!G8</f>
        <v>56.62734</v>
      </c>
      <c r="F2131" s="69">
        <f>D2131*E2131</f>
        <v>1946.05833757104</v>
      </c>
    </row>
    <row r="2132" ht="15" customHeight="1" spans="1:6">
      <c r="A2132" s="7"/>
      <c r="B2132" s="7" t="s">
        <v>1012</v>
      </c>
      <c r="C2132" s="7" t="s">
        <v>169</v>
      </c>
      <c r="D2132" s="34">
        <f>材料预算价!K8-材料预算价!L8</f>
        <v>29.13701</v>
      </c>
      <c r="E2132" s="34">
        <f>E2110*配合比!I8</f>
        <v>86.667084</v>
      </c>
      <c r="F2132" s="69">
        <f>D2132*E2132</f>
        <v>2525.21969317884</v>
      </c>
    </row>
    <row r="2133" ht="15" customHeight="1" spans="1:6">
      <c r="A2133" s="7">
        <v>2</v>
      </c>
      <c r="B2133" s="7" t="s">
        <v>1013</v>
      </c>
      <c r="C2133" s="7"/>
      <c r="D2133" s="34"/>
      <c r="E2133" s="38"/>
      <c r="F2133" s="69">
        <f>SUM(F2134:F2135)</f>
        <v>208.1808</v>
      </c>
    </row>
    <row r="2134" ht="15" customHeight="1" spans="1:6">
      <c r="A2134" s="7"/>
      <c r="B2134" s="7" t="s">
        <v>1014</v>
      </c>
      <c r="C2134" s="7" t="s">
        <v>863</v>
      </c>
      <c r="D2134" s="34">
        <f>D2088</f>
        <v>5.925</v>
      </c>
      <c r="E2134" s="38">
        <f>(E2114*7.2+E2115*0)</f>
        <v>35.136</v>
      </c>
      <c r="F2134" s="69">
        <f>D2134*E2134</f>
        <v>208.1808</v>
      </c>
    </row>
    <row r="2135" ht="15" customHeight="1" spans="1:6">
      <c r="A2135" s="7"/>
      <c r="B2135" s="7" t="s">
        <v>862</v>
      </c>
      <c r="C2135" s="7" t="s">
        <v>863</v>
      </c>
      <c r="D2135" s="34">
        <f>D2089</f>
        <v>4.58</v>
      </c>
      <c r="E2135" s="38"/>
      <c r="F2135" s="69">
        <f>D2135*E2135</f>
        <v>0</v>
      </c>
    </row>
    <row r="2136" ht="15" customHeight="1" spans="1:6">
      <c r="A2136" s="7" t="s">
        <v>135</v>
      </c>
      <c r="B2136" s="7" t="s">
        <v>849</v>
      </c>
      <c r="C2136" s="231">
        <f>C2090</f>
        <v>0.09</v>
      </c>
      <c r="D2136" s="34"/>
      <c r="E2136" s="34">
        <f>F2127+F2126+F2125+F2098</f>
        <v>65528.9340664637</v>
      </c>
      <c r="F2136" s="34">
        <f>E2136*C2136</f>
        <v>5897.60406598173</v>
      </c>
    </row>
    <row r="2137" ht="15" customHeight="1" spans="1:6">
      <c r="A2137" s="7"/>
      <c r="B2137" s="7" t="s">
        <v>850</v>
      </c>
      <c r="C2137" s="231"/>
      <c r="D2137" s="34"/>
      <c r="E2137" s="34"/>
      <c r="F2137" s="34">
        <f>(F2098+F2125+F2126+F2127+F2136)*取费表!H4</f>
        <v>2142.79614397336</v>
      </c>
    </row>
    <row r="2138" ht="15" customHeight="1" spans="1:6">
      <c r="A2138" s="7"/>
      <c r="B2138" s="7" t="s">
        <v>156</v>
      </c>
      <c r="C2138" s="7"/>
      <c r="D2138" s="34"/>
      <c r="E2138" s="34"/>
      <c r="F2138" s="34">
        <f>F2136+E2136+F2137</f>
        <v>73569.3342764188</v>
      </c>
    </row>
    <row r="2139" ht="15" customHeight="1" spans="1:12">
      <c r="A2139" s="248" t="s">
        <v>881</v>
      </c>
      <c r="B2139" s="225"/>
      <c r="C2139" s="225"/>
      <c r="D2139" s="225"/>
      <c r="E2139" s="225"/>
      <c r="F2139" s="225"/>
      <c r="G2139" s="248" t="s">
        <v>881</v>
      </c>
      <c r="H2139" s="225"/>
      <c r="I2139" s="225"/>
      <c r="J2139" s="225"/>
      <c r="K2139" s="225"/>
      <c r="L2139" s="225"/>
    </row>
    <row r="2140" ht="15" customHeight="1" spans="1:12">
      <c r="A2140" s="278" t="s">
        <v>1071</v>
      </c>
      <c r="B2140" s="272"/>
      <c r="C2140" s="272"/>
      <c r="D2140" s="272"/>
      <c r="E2140" s="272"/>
      <c r="F2140" s="272"/>
      <c r="G2140" s="278" t="s">
        <v>1072</v>
      </c>
      <c r="H2140" s="272"/>
      <c r="I2140" s="272"/>
      <c r="J2140" s="272"/>
      <c r="K2140" s="272"/>
      <c r="L2140" s="272"/>
    </row>
    <row r="2141" ht="15" customHeight="1" spans="1:12">
      <c r="A2141" s="227" t="s">
        <v>1065</v>
      </c>
      <c r="B2141" s="228"/>
      <c r="C2141" s="272"/>
      <c r="D2141" s="272"/>
      <c r="E2141" s="228" t="s">
        <v>832</v>
      </c>
      <c r="F2141" s="228"/>
      <c r="G2141" s="227" t="s">
        <v>1065</v>
      </c>
      <c r="H2141" s="228"/>
      <c r="I2141" s="272"/>
      <c r="J2141" s="272"/>
      <c r="K2141" s="228" t="s">
        <v>832</v>
      </c>
      <c r="L2141" s="228"/>
    </row>
    <row r="2142" ht="15" customHeight="1" spans="1:12">
      <c r="A2142" s="146" t="s">
        <v>911</v>
      </c>
      <c r="B2142" s="233"/>
      <c r="C2142" s="233"/>
      <c r="D2142" s="233"/>
      <c r="E2142" s="233"/>
      <c r="F2142" s="147"/>
      <c r="G2142" s="146" t="s">
        <v>911</v>
      </c>
      <c r="H2142" s="233"/>
      <c r="I2142" s="233"/>
      <c r="J2142" s="233"/>
      <c r="K2142" s="233"/>
      <c r="L2142" s="147"/>
    </row>
    <row r="2143" ht="15" customHeight="1" spans="1:12">
      <c r="A2143" s="7" t="s">
        <v>104</v>
      </c>
      <c r="B2143" s="7" t="s">
        <v>835</v>
      </c>
      <c r="C2143" s="7" t="s">
        <v>159</v>
      </c>
      <c r="D2143" s="7" t="s">
        <v>422</v>
      </c>
      <c r="E2143" s="7" t="s">
        <v>160</v>
      </c>
      <c r="F2143" s="7" t="s">
        <v>18</v>
      </c>
      <c r="G2143" s="7" t="s">
        <v>104</v>
      </c>
      <c r="H2143" s="7" t="s">
        <v>835</v>
      </c>
      <c r="I2143" s="7" t="s">
        <v>159</v>
      </c>
      <c r="J2143" s="7" t="s">
        <v>422</v>
      </c>
      <c r="K2143" s="7" t="s">
        <v>160</v>
      </c>
      <c r="L2143" s="7" t="s">
        <v>18</v>
      </c>
    </row>
    <row r="2144" ht="15" customHeight="1" spans="1:12">
      <c r="A2144" s="7" t="s">
        <v>836</v>
      </c>
      <c r="B2144" s="7" t="s">
        <v>837</v>
      </c>
      <c r="C2144" s="7"/>
      <c r="D2144" s="7"/>
      <c r="E2144" s="7"/>
      <c r="F2144" s="34">
        <f>F2145+F2169+F2170</f>
        <v>50790.793652785</v>
      </c>
      <c r="G2144" s="7" t="s">
        <v>836</v>
      </c>
      <c r="H2144" s="7" t="s">
        <v>837</v>
      </c>
      <c r="I2144" s="7"/>
      <c r="J2144" s="7"/>
      <c r="K2144" s="7"/>
      <c r="L2144" s="34">
        <f>L2145+L2169+L2170</f>
        <v>50790.793652785</v>
      </c>
    </row>
    <row r="2145" ht="15" customHeight="1" spans="1:12">
      <c r="A2145" s="7" t="s">
        <v>539</v>
      </c>
      <c r="B2145" s="7" t="s">
        <v>838</v>
      </c>
      <c r="C2145" s="7"/>
      <c r="D2145" s="7"/>
      <c r="E2145" s="7"/>
      <c r="F2145" s="34">
        <f>F2146+F2149+F2159+F2166</f>
        <v>48464.497760291</v>
      </c>
      <c r="G2145" s="7" t="s">
        <v>539</v>
      </c>
      <c r="H2145" s="7" t="s">
        <v>838</v>
      </c>
      <c r="I2145" s="7"/>
      <c r="J2145" s="7"/>
      <c r="K2145" s="7"/>
      <c r="L2145" s="34">
        <f>L2146+L2149+L2159+L2166</f>
        <v>48464.497760291</v>
      </c>
    </row>
    <row r="2146" ht="15" customHeight="1" spans="1:12">
      <c r="A2146" s="7">
        <v>1</v>
      </c>
      <c r="B2146" s="7" t="s">
        <v>839</v>
      </c>
      <c r="C2146" s="7" t="s">
        <v>840</v>
      </c>
      <c r="D2146" s="34"/>
      <c r="E2146" s="42">
        <f>SUM(E2147:E2148)</f>
        <v>1584.7</v>
      </c>
      <c r="F2146" s="69">
        <f>SUM(F2147:F2148)</f>
        <v>11728.388</v>
      </c>
      <c r="G2146" s="7">
        <v>1</v>
      </c>
      <c r="H2146" s="7" t="s">
        <v>839</v>
      </c>
      <c r="I2146" s="7" t="s">
        <v>840</v>
      </c>
      <c r="J2146" s="34"/>
      <c r="K2146" s="42">
        <f>SUM(K2147:K2148)</f>
        <v>1584.7</v>
      </c>
      <c r="L2146" s="69">
        <f>SUM(L2147:L2148)</f>
        <v>11728.388</v>
      </c>
    </row>
    <row r="2147" s="217" customFormat="1" ht="15" customHeight="1" spans="1:12">
      <c r="A2147" s="7"/>
      <c r="B2147" s="7" t="s">
        <v>841</v>
      </c>
      <c r="C2147" s="7" t="s">
        <v>840</v>
      </c>
      <c r="D2147" s="69">
        <f>D2101</f>
        <v>8.1</v>
      </c>
      <c r="E2147" s="42">
        <v>1109.3</v>
      </c>
      <c r="F2147" s="69">
        <f>D2147*E2147</f>
        <v>8985.33</v>
      </c>
      <c r="G2147" s="7"/>
      <c r="H2147" s="7" t="s">
        <v>841</v>
      </c>
      <c r="I2147" s="7" t="s">
        <v>840</v>
      </c>
      <c r="J2147" s="69">
        <f>D2147</f>
        <v>8.1</v>
      </c>
      <c r="K2147" s="42">
        <v>1109.3</v>
      </c>
      <c r="L2147" s="69">
        <f t="shared" ref="L2147:L2157" si="143">J2147*K2147</f>
        <v>8985.33</v>
      </c>
    </row>
    <row r="2148" s="217" customFormat="1" ht="15" customHeight="1" spans="1:12">
      <c r="A2148" s="7"/>
      <c r="B2148" s="7" t="s">
        <v>842</v>
      </c>
      <c r="C2148" s="7" t="s">
        <v>840</v>
      </c>
      <c r="D2148" s="69">
        <f>D2102</f>
        <v>5.77</v>
      </c>
      <c r="E2148" s="42">
        <v>475.4</v>
      </c>
      <c r="F2148" s="69">
        <f>D2148*E2148</f>
        <v>2743.058</v>
      </c>
      <c r="G2148" s="7"/>
      <c r="H2148" s="7" t="s">
        <v>842</v>
      </c>
      <c r="I2148" s="7" t="s">
        <v>840</v>
      </c>
      <c r="J2148" s="69">
        <f>D2148</f>
        <v>5.77</v>
      </c>
      <c r="K2148" s="42">
        <v>475.4</v>
      </c>
      <c r="L2148" s="69">
        <f t="shared" si="143"/>
        <v>2743.058</v>
      </c>
    </row>
    <row r="2149" ht="15" customHeight="1" spans="1:12">
      <c r="A2149" s="7">
        <v>2</v>
      </c>
      <c r="B2149" s="7" t="s">
        <v>912</v>
      </c>
      <c r="C2149" s="7"/>
      <c r="D2149" s="34"/>
      <c r="E2149" s="34"/>
      <c r="F2149" s="34">
        <f>SUM(F2150:F2158)</f>
        <v>33672.47744937</v>
      </c>
      <c r="G2149" s="7">
        <v>2</v>
      </c>
      <c r="H2149" s="7" t="s">
        <v>912</v>
      </c>
      <c r="I2149" s="7"/>
      <c r="J2149" s="34"/>
      <c r="K2149" s="34"/>
      <c r="L2149" s="34">
        <f>SUM(L2150:L2158)</f>
        <v>33672.47744937</v>
      </c>
    </row>
    <row r="2150" ht="15" customHeight="1" spans="1:12">
      <c r="A2150" s="7"/>
      <c r="B2150" s="273" t="s">
        <v>996</v>
      </c>
      <c r="C2150" s="273" t="s">
        <v>169</v>
      </c>
      <c r="D2150" s="34">
        <f t="shared" ref="D2150:D2155" si="144">D2104</f>
        <v>2238.008025</v>
      </c>
      <c r="E2150" s="34">
        <v>2.8</v>
      </c>
      <c r="F2150" s="34">
        <f t="shared" ref="F2150:F2157" si="145">D2150*E2150</f>
        <v>6266.42247</v>
      </c>
      <c r="G2150" s="7"/>
      <c r="H2150" s="273" t="s">
        <v>996</v>
      </c>
      <c r="I2150" s="273" t="s">
        <v>169</v>
      </c>
      <c r="J2150" s="34">
        <f t="shared" ref="J2150:J2157" si="146">D2150</f>
        <v>2238.008025</v>
      </c>
      <c r="K2150" s="34">
        <v>2.8</v>
      </c>
      <c r="L2150" s="34">
        <f t="shared" si="143"/>
        <v>6266.42247</v>
      </c>
    </row>
    <row r="2151" ht="15" customHeight="1" spans="1:12">
      <c r="A2151" s="7"/>
      <c r="B2151" s="273" t="s">
        <v>1066</v>
      </c>
      <c r="C2151" s="273" t="s">
        <v>863</v>
      </c>
      <c r="D2151" s="34">
        <f t="shared" si="144"/>
        <v>4.44</v>
      </c>
      <c r="E2151" s="34">
        <v>116.3</v>
      </c>
      <c r="F2151" s="34">
        <f t="shared" si="145"/>
        <v>516.372</v>
      </c>
      <c r="G2151" s="7"/>
      <c r="H2151" s="273" t="s">
        <v>1066</v>
      </c>
      <c r="I2151" s="273" t="s">
        <v>863</v>
      </c>
      <c r="J2151" s="34">
        <f t="shared" si="146"/>
        <v>4.44</v>
      </c>
      <c r="K2151" s="34">
        <v>116.3</v>
      </c>
      <c r="L2151" s="34">
        <f t="shared" si="143"/>
        <v>516.372</v>
      </c>
    </row>
    <row r="2152" ht="15" customHeight="1" spans="1:12">
      <c r="A2152" s="7"/>
      <c r="B2152" s="273" t="s">
        <v>998</v>
      </c>
      <c r="C2152" s="273" t="s">
        <v>863</v>
      </c>
      <c r="D2152" s="34">
        <f t="shared" si="144"/>
        <v>4.5</v>
      </c>
      <c r="E2152" s="34">
        <v>277.8</v>
      </c>
      <c r="F2152" s="34">
        <f t="shared" si="145"/>
        <v>1250.1</v>
      </c>
      <c r="G2152" s="7"/>
      <c r="H2152" s="273" t="s">
        <v>998</v>
      </c>
      <c r="I2152" s="273" t="s">
        <v>863</v>
      </c>
      <c r="J2152" s="34">
        <f t="shared" si="146"/>
        <v>4.5</v>
      </c>
      <c r="K2152" s="34">
        <v>277.8</v>
      </c>
      <c r="L2152" s="34">
        <f t="shared" si="143"/>
        <v>1250.1</v>
      </c>
    </row>
    <row r="2153" ht="15" customHeight="1" spans="1:12">
      <c r="A2153" s="7"/>
      <c r="B2153" s="273" t="s">
        <v>999</v>
      </c>
      <c r="C2153" s="273" t="s">
        <v>863</v>
      </c>
      <c r="D2153" s="34">
        <f t="shared" si="144"/>
        <v>5.15</v>
      </c>
      <c r="E2153" s="34">
        <v>373</v>
      </c>
      <c r="F2153" s="34">
        <f t="shared" si="145"/>
        <v>1920.95</v>
      </c>
      <c r="G2153" s="7"/>
      <c r="H2153" s="273" t="s">
        <v>999</v>
      </c>
      <c r="I2153" s="273" t="s">
        <v>863</v>
      </c>
      <c r="J2153" s="34">
        <f t="shared" si="146"/>
        <v>5.15</v>
      </c>
      <c r="K2153" s="34">
        <v>373</v>
      </c>
      <c r="L2153" s="34">
        <f t="shared" si="143"/>
        <v>1920.95</v>
      </c>
    </row>
    <row r="2154" ht="15" customHeight="1" spans="1:12">
      <c r="A2154" s="7"/>
      <c r="B2154" s="273" t="s">
        <v>1001</v>
      </c>
      <c r="C2154" s="273" t="s">
        <v>863</v>
      </c>
      <c r="D2154" s="34">
        <f t="shared" si="144"/>
        <v>6.39</v>
      </c>
      <c r="E2154" s="34">
        <v>509.2</v>
      </c>
      <c r="F2154" s="34">
        <f t="shared" si="145"/>
        <v>3253.788</v>
      </c>
      <c r="G2154" s="7"/>
      <c r="H2154" s="273" t="s">
        <v>1001</v>
      </c>
      <c r="I2154" s="273" t="s">
        <v>863</v>
      </c>
      <c r="J2154" s="34">
        <f t="shared" si="146"/>
        <v>6.39</v>
      </c>
      <c r="K2154" s="34">
        <v>509.2</v>
      </c>
      <c r="L2154" s="34">
        <f t="shared" si="143"/>
        <v>3253.788</v>
      </c>
    </row>
    <row r="2155" ht="15" customHeight="1" spans="1:12">
      <c r="A2155" s="7"/>
      <c r="B2155" s="273" t="s">
        <v>1002</v>
      </c>
      <c r="C2155" s="273" t="s">
        <v>863</v>
      </c>
      <c r="D2155" s="34">
        <f t="shared" si="144"/>
        <v>5.97</v>
      </c>
      <c r="E2155" s="34">
        <v>0.92</v>
      </c>
      <c r="F2155" s="34">
        <f t="shared" si="145"/>
        <v>5.4924</v>
      </c>
      <c r="G2155" s="7"/>
      <c r="H2155" s="273" t="s">
        <v>1002</v>
      </c>
      <c r="I2155" s="273" t="s">
        <v>863</v>
      </c>
      <c r="J2155" s="34">
        <f t="shared" si="146"/>
        <v>5.97</v>
      </c>
      <c r="K2155" s="34">
        <v>0.92</v>
      </c>
      <c r="L2155" s="34">
        <f t="shared" si="143"/>
        <v>5.4924</v>
      </c>
    </row>
    <row r="2156" ht="15" customHeight="1" spans="1:12">
      <c r="A2156" s="7"/>
      <c r="B2156" s="7" t="s">
        <v>1025</v>
      </c>
      <c r="C2156" s="7" t="s">
        <v>169</v>
      </c>
      <c r="D2156" s="34">
        <f>配合比!M11</f>
        <v>188.0418245</v>
      </c>
      <c r="E2156" s="34">
        <v>103</v>
      </c>
      <c r="F2156" s="34">
        <f t="shared" si="145"/>
        <v>19368.3079235</v>
      </c>
      <c r="G2156" s="7"/>
      <c r="H2156" s="7" t="s">
        <v>1025</v>
      </c>
      <c r="I2156" s="7" t="s">
        <v>169</v>
      </c>
      <c r="J2156" s="34">
        <f t="shared" si="146"/>
        <v>188.0418245</v>
      </c>
      <c r="K2156" s="34">
        <v>103</v>
      </c>
      <c r="L2156" s="34">
        <f t="shared" si="143"/>
        <v>19368.3079235</v>
      </c>
    </row>
    <row r="2157" ht="15" customHeight="1" spans="1:12">
      <c r="A2157" s="7"/>
      <c r="B2157" s="7" t="s">
        <v>913</v>
      </c>
      <c r="C2157" s="7" t="s">
        <v>169</v>
      </c>
      <c r="D2157" s="34">
        <f>材料预算价!K13</f>
        <v>3.59</v>
      </c>
      <c r="E2157" s="34">
        <v>120</v>
      </c>
      <c r="F2157" s="34">
        <f t="shared" si="145"/>
        <v>430.8</v>
      </c>
      <c r="G2157" s="7"/>
      <c r="H2157" s="7" t="s">
        <v>913</v>
      </c>
      <c r="I2157" s="7" t="s">
        <v>169</v>
      </c>
      <c r="J2157" s="34">
        <f t="shared" si="146"/>
        <v>3.59</v>
      </c>
      <c r="K2157" s="34">
        <v>120</v>
      </c>
      <c r="L2157" s="34">
        <f t="shared" si="143"/>
        <v>430.8</v>
      </c>
    </row>
    <row r="2158" ht="15" customHeight="1" spans="1:12">
      <c r="A2158" s="7"/>
      <c r="B2158" s="7" t="s">
        <v>1004</v>
      </c>
      <c r="C2158" s="9" t="s">
        <v>845</v>
      </c>
      <c r="D2158" s="34">
        <f>SUM(F2150:F2157)</f>
        <v>33012.2327935</v>
      </c>
      <c r="E2158" s="34">
        <v>2</v>
      </c>
      <c r="F2158" s="34">
        <f>D2158*E2158/100</f>
        <v>660.24465587</v>
      </c>
      <c r="G2158" s="7"/>
      <c r="H2158" s="7" t="s">
        <v>1004</v>
      </c>
      <c r="I2158" s="9" t="s">
        <v>845</v>
      </c>
      <c r="J2158" s="34">
        <f>SUM(L2150:L2157)</f>
        <v>33012.2327935</v>
      </c>
      <c r="K2158" s="34">
        <v>2</v>
      </c>
      <c r="L2158" s="34">
        <f>J2158*K2158/100</f>
        <v>660.24465587</v>
      </c>
    </row>
    <row r="2159" ht="15" customHeight="1" spans="1:12">
      <c r="A2159" s="7">
        <v>3</v>
      </c>
      <c r="B2159" s="7" t="s">
        <v>859</v>
      </c>
      <c r="C2159" s="7"/>
      <c r="D2159" s="34"/>
      <c r="E2159" s="34"/>
      <c r="F2159" s="34">
        <f>SUM(F2160:F2165)</f>
        <v>1071.97611953283</v>
      </c>
      <c r="G2159" s="7">
        <v>3</v>
      </c>
      <c r="H2159" s="7" t="s">
        <v>859</v>
      </c>
      <c r="I2159" s="7"/>
      <c r="J2159" s="34"/>
      <c r="K2159" s="34"/>
      <c r="L2159" s="34">
        <f>SUM(L2160:L2165)</f>
        <v>1071.97611953283</v>
      </c>
    </row>
    <row r="2160" ht="15" customHeight="1" spans="1:12">
      <c r="A2160" s="7"/>
      <c r="B2160" s="7" t="s">
        <v>1069</v>
      </c>
      <c r="C2160" s="7" t="s">
        <v>428</v>
      </c>
      <c r="D2160" s="34">
        <f>D2117</f>
        <v>8.3371858795373</v>
      </c>
      <c r="E2160" s="34">
        <v>16.83</v>
      </c>
      <c r="F2160" s="34">
        <f>D2160*E2160</f>
        <v>140.314838352613</v>
      </c>
      <c r="G2160" s="7"/>
      <c r="H2160" s="7" t="s">
        <v>1069</v>
      </c>
      <c r="I2160" s="7" t="s">
        <v>428</v>
      </c>
      <c r="J2160" s="34">
        <f>D2160</f>
        <v>8.3371858795373</v>
      </c>
      <c r="K2160" s="34">
        <v>16.83</v>
      </c>
      <c r="L2160" s="34">
        <f t="shared" ref="L2160:L2164" si="147">J2160*K2160</f>
        <v>140.314838352613</v>
      </c>
    </row>
    <row r="2161" ht="15" customHeight="1" spans="1:12">
      <c r="A2161" s="7"/>
      <c r="B2161" s="7" t="s">
        <v>1005</v>
      </c>
      <c r="C2161" s="7" t="s">
        <v>428</v>
      </c>
      <c r="D2161" s="34">
        <f>D2114</f>
        <v>49.389824491424</v>
      </c>
      <c r="E2161" s="34">
        <v>4.88</v>
      </c>
      <c r="F2161" s="34">
        <f>D2161*E2161</f>
        <v>241.022343518149</v>
      </c>
      <c r="G2161" s="7"/>
      <c r="H2161" s="7" t="s">
        <v>1005</v>
      </c>
      <c r="I2161" s="7" t="s">
        <v>428</v>
      </c>
      <c r="J2161" s="34">
        <f>D2161</f>
        <v>49.389824491424</v>
      </c>
      <c r="K2161" s="34">
        <v>4.88</v>
      </c>
      <c r="L2161" s="34">
        <f t="shared" si="147"/>
        <v>241.022343518149</v>
      </c>
    </row>
    <row r="2162" ht="15" customHeight="1" spans="1:12">
      <c r="A2162" s="7"/>
      <c r="B2162" s="7" t="s">
        <v>1048</v>
      </c>
      <c r="C2162" s="7" t="s">
        <v>428</v>
      </c>
      <c r="D2162" s="34">
        <f>D2115</f>
        <v>23.9179521340247</v>
      </c>
      <c r="E2162" s="251">
        <v>18.54</v>
      </c>
      <c r="F2162" s="34">
        <f>D2162*E2162</f>
        <v>443.438832564818</v>
      </c>
      <c r="G2162" s="7"/>
      <c r="H2162" s="7" t="s">
        <v>1048</v>
      </c>
      <c r="I2162" s="7" t="s">
        <v>428</v>
      </c>
      <c r="J2162" s="34">
        <f>D2162</f>
        <v>23.9179521340247</v>
      </c>
      <c r="K2162" s="251">
        <v>18.54</v>
      </c>
      <c r="L2162" s="34">
        <f t="shared" si="147"/>
        <v>443.438832564818</v>
      </c>
    </row>
    <row r="2163" ht="15" customHeight="1" spans="1:12">
      <c r="A2163" s="7"/>
      <c r="B2163" s="7" t="s">
        <v>1009</v>
      </c>
      <c r="C2163" s="7" t="s">
        <v>428</v>
      </c>
      <c r="D2163" s="34">
        <f>台时!F42</f>
        <v>1.82152692461109</v>
      </c>
      <c r="E2163" s="251">
        <v>35.6</v>
      </c>
      <c r="F2163" s="34">
        <f>D2163*E2163</f>
        <v>64.8463585161548</v>
      </c>
      <c r="G2163" s="7"/>
      <c r="H2163" s="7" t="s">
        <v>1009</v>
      </c>
      <c r="I2163" s="7" t="s">
        <v>428</v>
      </c>
      <c r="J2163" s="34">
        <f>D2163</f>
        <v>1.82152692461109</v>
      </c>
      <c r="K2163" s="251">
        <v>35.6</v>
      </c>
      <c r="L2163" s="34">
        <f t="shared" si="147"/>
        <v>64.8463585161548</v>
      </c>
    </row>
    <row r="2164" ht="15" customHeight="1" spans="1:12">
      <c r="A2164" s="7"/>
      <c r="B2164" s="7" t="s">
        <v>967</v>
      </c>
      <c r="C2164" s="7" t="s">
        <v>428</v>
      </c>
      <c r="D2164" s="34">
        <f>D2118</f>
        <v>0.813242919824491</v>
      </c>
      <c r="E2164" s="251">
        <v>83</v>
      </c>
      <c r="F2164" s="34">
        <f>D2164*E2164</f>
        <v>67.4991623454328</v>
      </c>
      <c r="G2164" s="7"/>
      <c r="H2164" s="7" t="s">
        <v>967</v>
      </c>
      <c r="I2164" s="7" t="s">
        <v>428</v>
      </c>
      <c r="J2164" s="34">
        <f>D2164</f>
        <v>0.813242919824491</v>
      </c>
      <c r="K2164" s="251">
        <v>83</v>
      </c>
      <c r="L2164" s="34">
        <f t="shared" si="147"/>
        <v>67.4991623454328</v>
      </c>
    </row>
    <row r="2165" ht="15" customHeight="1" spans="1:12">
      <c r="A2165" s="7"/>
      <c r="B2165" s="7" t="s">
        <v>918</v>
      </c>
      <c r="C2165" s="9" t="s">
        <v>845</v>
      </c>
      <c r="D2165" s="34">
        <f>SUM(F2160:F2164)</f>
        <v>957.121535297168</v>
      </c>
      <c r="E2165" s="34">
        <v>12</v>
      </c>
      <c r="F2165" s="34">
        <f>D2165*E2165/100</f>
        <v>114.85458423566</v>
      </c>
      <c r="G2165" s="7"/>
      <c r="H2165" s="7" t="s">
        <v>918</v>
      </c>
      <c r="I2165" s="9" t="s">
        <v>845</v>
      </c>
      <c r="J2165" s="34">
        <f>SUM(L2160:L2164)</f>
        <v>957.121535297168</v>
      </c>
      <c r="K2165" s="34">
        <v>12</v>
      </c>
      <c r="L2165" s="34">
        <f>J2165*K2165/100</f>
        <v>114.85458423566</v>
      </c>
    </row>
    <row r="2166" s="219" customFormat="1" ht="15" customHeight="1" spans="1:12">
      <c r="A2166" s="5">
        <v>4</v>
      </c>
      <c r="B2166" s="5" t="s">
        <v>1010</v>
      </c>
      <c r="C2166" s="275"/>
      <c r="D2166" s="276"/>
      <c r="E2166" s="276"/>
      <c r="F2166" s="276">
        <f>SUM(F2167:F2168)</f>
        <v>1991.65619138815</v>
      </c>
      <c r="G2166" s="5">
        <v>4</v>
      </c>
      <c r="H2166" s="5" t="s">
        <v>1010</v>
      </c>
      <c r="I2166" s="275"/>
      <c r="J2166" s="276"/>
      <c r="K2166" s="276"/>
      <c r="L2166" s="276">
        <f>SUM(L2167:L2168)</f>
        <v>1991.65619138815</v>
      </c>
    </row>
    <row r="2167" s="216" customFormat="1" ht="15" customHeight="1" spans="1:12">
      <c r="A2167" s="7"/>
      <c r="B2167" s="123" t="s">
        <v>681</v>
      </c>
      <c r="C2167" s="123" t="s">
        <v>169</v>
      </c>
      <c r="D2167" s="274">
        <f>$F$2795/100</f>
        <v>5.03319379720782</v>
      </c>
      <c r="E2167" s="274">
        <v>103</v>
      </c>
      <c r="F2167" s="34">
        <f>D2167*E2167</f>
        <v>518.418961112405</v>
      </c>
      <c r="G2167" s="7"/>
      <c r="H2167" s="123" t="s">
        <v>681</v>
      </c>
      <c r="I2167" s="123" t="s">
        <v>169</v>
      </c>
      <c r="J2167" s="274">
        <f>$F$2795/100</f>
        <v>5.03319379720782</v>
      </c>
      <c r="K2167" s="274">
        <v>103</v>
      </c>
      <c r="L2167" s="34">
        <f>J2167*K2167</f>
        <v>518.418961112405</v>
      </c>
    </row>
    <row r="2168" s="216" customFormat="1" ht="15" customHeight="1" spans="1:12">
      <c r="A2168" s="7"/>
      <c r="B2168" s="123" t="s">
        <v>682</v>
      </c>
      <c r="C2168" s="123" t="s">
        <v>169</v>
      </c>
      <c r="D2168" s="274">
        <f>$F$2813/100</f>
        <v>14.303274080347</v>
      </c>
      <c r="E2168" s="274">
        <v>103</v>
      </c>
      <c r="F2168" s="34">
        <f>D2168*E2168</f>
        <v>1473.23723027574</v>
      </c>
      <c r="G2168" s="7"/>
      <c r="H2168" s="123" t="s">
        <v>682</v>
      </c>
      <c r="I2168" s="123" t="s">
        <v>169</v>
      </c>
      <c r="J2168" s="274">
        <f>$F$2813/100</f>
        <v>14.303274080347</v>
      </c>
      <c r="K2168" s="274">
        <v>103</v>
      </c>
      <c r="L2168" s="34">
        <f>J2168*K2168</f>
        <v>1473.23723027574</v>
      </c>
    </row>
    <row r="2169" s="216" customFormat="1" ht="15" customHeight="1" spans="1:12">
      <c r="A2169" s="7" t="s">
        <v>564</v>
      </c>
      <c r="B2169" s="7" t="s">
        <v>846</v>
      </c>
      <c r="C2169" s="230">
        <f>取费表!$C$7</f>
        <v>0.048</v>
      </c>
      <c r="D2169" s="274"/>
      <c r="E2169" s="274">
        <f>F2145</f>
        <v>48464.497760291</v>
      </c>
      <c r="F2169" s="34">
        <f>E2169*C2169</f>
        <v>2326.29589249397</v>
      </c>
      <c r="G2169" s="7" t="s">
        <v>564</v>
      </c>
      <c r="H2169" s="7" t="s">
        <v>846</v>
      </c>
      <c r="I2169" s="230">
        <f>取费表!$C$7</f>
        <v>0.048</v>
      </c>
      <c r="J2169" s="274"/>
      <c r="K2169" s="274">
        <f>L2145</f>
        <v>48464.497760291</v>
      </c>
      <c r="L2169" s="34">
        <f t="shared" ref="L2169:L2172" si="148">K2169*I2169</f>
        <v>2326.29589249397</v>
      </c>
    </row>
    <row r="2170" s="216" customFormat="1" ht="15" customHeight="1" spans="1:12">
      <c r="A2170" s="7"/>
      <c r="B2170" s="7"/>
      <c r="C2170" s="230"/>
      <c r="D2170" s="274"/>
      <c r="E2170" s="274"/>
      <c r="F2170" s="34"/>
      <c r="G2170" s="7"/>
      <c r="H2170" s="7"/>
      <c r="I2170" s="230"/>
      <c r="J2170" s="274"/>
      <c r="K2170" s="274"/>
      <c r="L2170" s="34"/>
    </row>
    <row r="2171" s="216" customFormat="1" ht="15" customHeight="1" spans="1:12">
      <c r="A2171" s="7" t="s">
        <v>439</v>
      </c>
      <c r="B2171" s="7" t="s">
        <v>847</v>
      </c>
      <c r="C2171" s="230">
        <f>取费表!$E$7</f>
        <v>0.07</v>
      </c>
      <c r="D2171" s="274"/>
      <c r="E2171" s="274">
        <f>F2144</f>
        <v>50790.793652785</v>
      </c>
      <c r="F2171" s="34">
        <f>E2171*C2171</f>
        <v>3555.35555569495</v>
      </c>
      <c r="G2171" s="7" t="s">
        <v>439</v>
      </c>
      <c r="H2171" s="7" t="s">
        <v>847</v>
      </c>
      <c r="I2171" s="230">
        <f>取费表!$E$7</f>
        <v>0.07</v>
      </c>
      <c r="J2171" s="274"/>
      <c r="K2171" s="274">
        <f>L2144</f>
        <v>50790.793652785</v>
      </c>
      <c r="L2171" s="34">
        <f t="shared" si="148"/>
        <v>3555.35555569495</v>
      </c>
    </row>
    <row r="2172" s="216" customFormat="1" ht="15" customHeight="1" spans="1:12">
      <c r="A2172" s="7" t="s">
        <v>83</v>
      </c>
      <c r="B2172" s="7" t="s">
        <v>848</v>
      </c>
      <c r="C2172" s="230">
        <f>取费表!$F$7</f>
        <v>0.07</v>
      </c>
      <c r="D2172" s="274"/>
      <c r="E2172" s="274">
        <f>F2171+F2144</f>
        <v>54346.1492084799</v>
      </c>
      <c r="F2172" s="34">
        <f>E2172*C2172</f>
        <v>3804.23044459359</v>
      </c>
      <c r="G2172" s="7" t="s">
        <v>83</v>
      </c>
      <c r="H2172" s="7" t="s">
        <v>848</v>
      </c>
      <c r="I2172" s="230">
        <f>取费表!$F$7</f>
        <v>0.07</v>
      </c>
      <c r="J2172" s="274"/>
      <c r="K2172" s="274">
        <f>L2171+L2144</f>
        <v>54346.1492084799</v>
      </c>
      <c r="L2172" s="34">
        <f t="shared" si="148"/>
        <v>3804.23044459359</v>
      </c>
    </row>
    <row r="2173" s="220" customFormat="1" ht="15" customHeight="1" spans="1:12">
      <c r="A2173" s="5" t="s">
        <v>121</v>
      </c>
      <c r="B2173" s="5" t="s">
        <v>861</v>
      </c>
      <c r="C2173" s="275"/>
      <c r="D2173" s="276"/>
      <c r="E2173" s="5"/>
      <c r="F2173" s="277">
        <f>F2174+F2179</f>
        <v>10426.3458619433</v>
      </c>
      <c r="G2173" s="5" t="s">
        <v>121</v>
      </c>
      <c r="H2173" s="5" t="s">
        <v>861</v>
      </c>
      <c r="I2173" s="275"/>
      <c r="J2173" s="276"/>
      <c r="K2173" s="5"/>
      <c r="L2173" s="277">
        <f>L2174+L2179</f>
        <v>15073.3156966043</v>
      </c>
    </row>
    <row r="2174" ht="15" customHeight="1" spans="1:12">
      <c r="A2174" s="7">
        <v>1</v>
      </c>
      <c r="B2174" s="7" t="s">
        <v>1011</v>
      </c>
      <c r="C2174" s="9"/>
      <c r="D2174" s="34"/>
      <c r="E2174" s="7"/>
      <c r="F2174" s="69">
        <f>SUM(F2175:F2178)</f>
        <v>9639.80211194332</v>
      </c>
      <c r="G2174" s="7">
        <v>1</v>
      </c>
      <c r="H2174" s="7" t="s">
        <v>1011</v>
      </c>
      <c r="I2174" s="9"/>
      <c r="J2174" s="34"/>
      <c r="K2174" s="7"/>
      <c r="L2174" s="69">
        <f>SUM(L2175:L2178)</f>
        <v>14286.7719466043</v>
      </c>
    </row>
    <row r="2175" ht="15" customHeight="1" spans="1:12">
      <c r="A2175" s="7"/>
      <c r="B2175" s="7"/>
      <c r="C2175" s="7"/>
      <c r="D2175" s="34"/>
      <c r="E2175" s="34"/>
      <c r="F2175" s="69"/>
      <c r="G2175" s="7"/>
      <c r="H2175" s="7"/>
      <c r="I2175" s="7"/>
      <c r="J2175" s="34"/>
      <c r="K2175" s="34"/>
      <c r="L2175" s="69"/>
    </row>
    <row r="2176" ht="15" customHeight="1" spans="1:12">
      <c r="A2176" s="7"/>
      <c r="B2176" s="7" t="s">
        <v>979</v>
      </c>
      <c r="C2176" s="7" t="s">
        <v>200</v>
      </c>
      <c r="D2176" s="34">
        <f>材料预算价!K5-材料预算价!L5</f>
        <v>141.58936</v>
      </c>
      <c r="E2176" s="34">
        <f>E2156*配合比!E11</f>
        <v>37.58161</v>
      </c>
      <c r="F2176" s="69">
        <f>D2176*E2176</f>
        <v>5321.1561076696</v>
      </c>
      <c r="G2176" s="7"/>
      <c r="H2176" s="7" t="s">
        <v>983</v>
      </c>
      <c r="I2176" s="7" t="s">
        <v>200</v>
      </c>
      <c r="J2176" s="34">
        <f>材料预算价!K6-材料预算价!L6</f>
        <v>265.23946</v>
      </c>
      <c r="K2176" s="34">
        <f>E2176</f>
        <v>37.58161</v>
      </c>
      <c r="L2176" s="69">
        <f t="shared" ref="L2176:L2178" si="149">J2176*K2176</f>
        <v>9968.1259423306</v>
      </c>
    </row>
    <row r="2177" ht="15" customHeight="1" spans="1:12">
      <c r="A2177" s="7"/>
      <c r="B2177" s="7" t="s">
        <v>961</v>
      </c>
      <c r="C2177" s="7" t="s">
        <v>169</v>
      </c>
      <c r="D2177" s="34">
        <f>D2131</f>
        <v>34.366056</v>
      </c>
      <c r="E2177" s="34">
        <f>E2156*配合比!G11</f>
        <v>52.18598</v>
      </c>
      <c r="F2177" s="69">
        <f>D2177*E2177</f>
        <v>1793.42631109488</v>
      </c>
      <c r="G2177" s="7"/>
      <c r="H2177" s="7" t="s">
        <v>961</v>
      </c>
      <c r="I2177" s="7" t="s">
        <v>169</v>
      </c>
      <c r="J2177" s="34">
        <f>D2177</f>
        <v>34.366056</v>
      </c>
      <c r="K2177" s="34">
        <f>E2177</f>
        <v>52.18598</v>
      </c>
      <c r="L2177" s="69">
        <f t="shared" si="149"/>
        <v>1793.42631109488</v>
      </c>
    </row>
    <row r="2178" ht="15" customHeight="1" spans="1:12">
      <c r="A2178" s="7"/>
      <c r="B2178" s="7" t="s">
        <v>1012</v>
      </c>
      <c r="C2178" s="7" t="s">
        <v>169</v>
      </c>
      <c r="D2178" s="34">
        <f>材料预算价!K8-材料预算价!L8</f>
        <v>29.13701</v>
      </c>
      <c r="E2178" s="34">
        <f>E2156*配合比!I11</f>
        <v>86.667084</v>
      </c>
      <c r="F2178" s="69">
        <f>D2178*E2178</f>
        <v>2525.21969317884</v>
      </c>
      <c r="G2178" s="7"/>
      <c r="H2178" s="7" t="s">
        <v>1012</v>
      </c>
      <c r="I2178" s="7" t="s">
        <v>169</v>
      </c>
      <c r="J2178" s="34">
        <f>D2178</f>
        <v>29.13701</v>
      </c>
      <c r="K2178" s="34">
        <f>E2178</f>
        <v>86.667084</v>
      </c>
      <c r="L2178" s="69">
        <f t="shared" si="149"/>
        <v>2525.21969317884</v>
      </c>
    </row>
    <row r="2179" ht="15" customHeight="1" spans="1:12">
      <c r="A2179" s="7">
        <v>2</v>
      </c>
      <c r="B2179" s="7" t="s">
        <v>1013</v>
      </c>
      <c r="C2179" s="7"/>
      <c r="D2179" s="34"/>
      <c r="E2179" s="38"/>
      <c r="F2179" s="69">
        <f>SUM(F2180:F2181)</f>
        <v>786.54375</v>
      </c>
      <c r="G2179" s="7">
        <v>2</v>
      </c>
      <c r="H2179" s="7" t="s">
        <v>1013</v>
      </c>
      <c r="I2179" s="7"/>
      <c r="J2179" s="34"/>
      <c r="K2179" s="38"/>
      <c r="L2179" s="69">
        <f>SUM(L2180:L2181)</f>
        <v>786.54375</v>
      </c>
    </row>
    <row r="2180" ht="15" customHeight="1" spans="1:12">
      <c r="A2180" s="7"/>
      <c r="B2180" s="7" t="s">
        <v>1014</v>
      </c>
      <c r="C2180" s="7" t="s">
        <v>863</v>
      </c>
      <c r="D2180" s="34">
        <f>D2134</f>
        <v>5.925</v>
      </c>
      <c r="E2180" s="38">
        <f>E2160*台时!F76+E2161*台时!H34</f>
        <v>132.75</v>
      </c>
      <c r="F2180" s="69">
        <f>D2180*E2180</f>
        <v>786.54375</v>
      </c>
      <c r="G2180" s="7"/>
      <c r="H2180" s="7" t="s">
        <v>1014</v>
      </c>
      <c r="I2180" s="7" t="s">
        <v>863</v>
      </c>
      <c r="J2180" s="34">
        <f>D2180</f>
        <v>5.925</v>
      </c>
      <c r="K2180" s="38">
        <f>E2180</f>
        <v>132.75</v>
      </c>
      <c r="L2180" s="69">
        <f>J2180*K2180</f>
        <v>786.54375</v>
      </c>
    </row>
    <row r="2181" ht="15" customHeight="1" spans="1:12">
      <c r="A2181" s="7"/>
      <c r="B2181" s="7" t="s">
        <v>862</v>
      </c>
      <c r="C2181" s="7" t="s">
        <v>863</v>
      </c>
      <c r="D2181" s="34">
        <f>D2135</f>
        <v>4.58</v>
      </c>
      <c r="E2181" s="38"/>
      <c r="F2181" s="69">
        <f>D2181*E2181</f>
        <v>0</v>
      </c>
      <c r="G2181" s="7"/>
      <c r="H2181" s="7" t="s">
        <v>862</v>
      </c>
      <c r="I2181" s="7" t="s">
        <v>863</v>
      </c>
      <c r="J2181" s="34">
        <f>D2181</f>
        <v>4.58</v>
      </c>
      <c r="K2181" s="38"/>
      <c r="L2181" s="69">
        <f>J2181*K2181</f>
        <v>0</v>
      </c>
    </row>
    <row r="2182" ht="15" customHeight="1" spans="1:12">
      <c r="A2182" s="7" t="s">
        <v>135</v>
      </c>
      <c r="B2182" s="7" t="s">
        <v>849</v>
      </c>
      <c r="C2182" s="231">
        <f>C2136</f>
        <v>0.09</v>
      </c>
      <c r="D2182" s="34"/>
      <c r="E2182" s="34">
        <f>F2173+F2172+F2171+F2144</f>
        <v>68576.7255150169</v>
      </c>
      <c r="F2182" s="34">
        <f>E2182*C2182</f>
        <v>6171.90529635152</v>
      </c>
      <c r="G2182" s="7" t="s">
        <v>135</v>
      </c>
      <c r="H2182" s="7" t="s">
        <v>849</v>
      </c>
      <c r="I2182" s="231">
        <f>C2182</f>
        <v>0.09</v>
      </c>
      <c r="J2182" s="34"/>
      <c r="K2182" s="34">
        <f>L2173+L2172+L2171+L2144</f>
        <v>73223.6953496778</v>
      </c>
      <c r="L2182" s="34">
        <f>K2182*I2182</f>
        <v>6590.13258147101</v>
      </c>
    </row>
    <row r="2183" ht="15" customHeight="1" spans="1:12">
      <c r="A2183" s="7"/>
      <c r="B2183" s="7" t="s">
        <v>850</v>
      </c>
      <c r="C2183" s="231"/>
      <c r="D2183" s="34"/>
      <c r="E2183" s="34"/>
      <c r="F2183" s="34">
        <f>(F2144+F2171+F2172+F2173+F2182)*取费表!H4</f>
        <v>2242.45892434105</v>
      </c>
      <c r="G2183" s="7"/>
      <c r="H2183" s="7" t="s">
        <v>850</v>
      </c>
      <c r="I2183" s="231"/>
      <c r="J2183" s="34"/>
      <c r="K2183" s="34"/>
      <c r="L2183" s="34">
        <f>(L2144+L2171+L2172+L2173+L2182)*取费表!H7</f>
        <v>2394.41483793447</v>
      </c>
    </row>
    <row r="2184" ht="15" customHeight="1" spans="1:12">
      <c r="A2184" s="7"/>
      <c r="B2184" s="7" t="s">
        <v>156</v>
      </c>
      <c r="C2184" s="7"/>
      <c r="D2184" s="34"/>
      <c r="E2184" s="34"/>
      <c r="F2184" s="34">
        <f>F2182+E2182+F2183</f>
        <v>76991.0897357094</v>
      </c>
      <c r="G2184" s="7"/>
      <c r="H2184" s="7" t="s">
        <v>156</v>
      </c>
      <c r="I2184" s="7"/>
      <c r="J2184" s="34"/>
      <c r="K2184" s="34"/>
      <c r="L2184" s="34">
        <f>L2182+K2182+L2183</f>
        <v>82208.2427690833</v>
      </c>
    </row>
    <row r="2185" ht="15" customHeight="1" spans="1:6">
      <c r="A2185" s="248" t="s">
        <v>881</v>
      </c>
      <c r="B2185" s="225"/>
      <c r="C2185" s="225"/>
      <c r="D2185" s="225"/>
      <c r="E2185" s="225"/>
      <c r="F2185" s="225"/>
    </row>
    <row r="2186" ht="15" customHeight="1" spans="1:6">
      <c r="A2186" s="278" t="s">
        <v>1073</v>
      </c>
      <c r="B2186" s="272"/>
      <c r="C2186" s="272"/>
      <c r="D2186" s="272"/>
      <c r="E2186" s="272"/>
      <c r="F2186" s="272"/>
    </row>
    <row r="2187" ht="15" customHeight="1" spans="1:6">
      <c r="A2187" s="227" t="s">
        <v>1074</v>
      </c>
      <c r="B2187" s="228"/>
      <c r="C2187" s="272"/>
      <c r="D2187" s="272"/>
      <c r="E2187" s="228" t="s">
        <v>832</v>
      </c>
      <c r="F2187" s="228"/>
    </row>
    <row r="2188" ht="15" customHeight="1" spans="1:6">
      <c r="A2188" s="146" t="s">
        <v>911</v>
      </c>
      <c r="B2188" s="233"/>
      <c r="C2188" s="233"/>
      <c r="D2188" s="233"/>
      <c r="E2188" s="233"/>
      <c r="F2188" s="147"/>
    </row>
    <row r="2189" ht="15" customHeight="1" spans="1:6">
      <c r="A2189" s="7" t="s">
        <v>104</v>
      </c>
      <c r="B2189" s="7" t="s">
        <v>835</v>
      </c>
      <c r="C2189" s="7" t="s">
        <v>159</v>
      </c>
      <c r="D2189" s="7" t="s">
        <v>422</v>
      </c>
      <c r="E2189" s="7" t="s">
        <v>160</v>
      </c>
      <c r="F2189" s="7" t="s">
        <v>18</v>
      </c>
    </row>
    <row r="2190" ht="15" customHeight="1" spans="1:6">
      <c r="A2190" s="7" t="s">
        <v>836</v>
      </c>
      <c r="B2190" s="7" t="s">
        <v>837</v>
      </c>
      <c r="C2190" s="7"/>
      <c r="D2190" s="7"/>
      <c r="E2190" s="7"/>
      <c r="F2190" s="34">
        <f>F2191+F2215+F2216</f>
        <v>58908.1794741063</v>
      </c>
    </row>
    <row r="2191" ht="15" customHeight="1" spans="1:6">
      <c r="A2191" s="7" t="s">
        <v>539</v>
      </c>
      <c r="B2191" s="7" t="s">
        <v>838</v>
      </c>
      <c r="C2191" s="7"/>
      <c r="D2191" s="7"/>
      <c r="E2191" s="7"/>
      <c r="F2191" s="34">
        <f>F2192+F2195+F2204+F2212</f>
        <v>56210.0949180403</v>
      </c>
    </row>
    <row r="2192" ht="15" customHeight="1" spans="1:6">
      <c r="A2192" s="7">
        <v>1</v>
      </c>
      <c r="B2192" s="7" t="s">
        <v>839</v>
      </c>
      <c r="C2192" s="7" t="s">
        <v>840</v>
      </c>
      <c r="D2192" s="34"/>
      <c r="E2192" s="42">
        <f>SUM(E2193:E2194)</f>
        <v>3072.8</v>
      </c>
      <c r="F2192" s="69">
        <f>SUM(F2193:F2194)</f>
        <v>23058.067</v>
      </c>
    </row>
    <row r="2193" ht="15" customHeight="1" spans="1:6">
      <c r="A2193" s="7"/>
      <c r="B2193" s="7" t="s">
        <v>841</v>
      </c>
      <c r="C2193" s="7" t="s">
        <v>840</v>
      </c>
      <c r="D2193" s="69">
        <f t="shared" ref="D2193:D2199" si="150">D2147</f>
        <v>8.1</v>
      </c>
      <c r="E2193" s="42">
        <v>2286.7</v>
      </c>
      <c r="F2193" s="69">
        <f t="shared" ref="F2193:F2202" si="151">D2193*E2193</f>
        <v>18522.27</v>
      </c>
    </row>
    <row r="2194" ht="15" customHeight="1" spans="1:6">
      <c r="A2194" s="7"/>
      <c r="B2194" s="7" t="s">
        <v>842</v>
      </c>
      <c r="C2194" s="7" t="s">
        <v>840</v>
      </c>
      <c r="D2194" s="69">
        <f t="shared" si="150"/>
        <v>5.77</v>
      </c>
      <c r="E2194" s="42">
        <v>786.1</v>
      </c>
      <c r="F2194" s="69">
        <f t="shared" si="151"/>
        <v>4535.797</v>
      </c>
    </row>
    <row r="2195" ht="15" customHeight="1" spans="1:6">
      <c r="A2195" s="7">
        <v>2</v>
      </c>
      <c r="B2195" s="7" t="s">
        <v>912</v>
      </c>
      <c r="C2195" s="7"/>
      <c r="D2195" s="34"/>
      <c r="E2195" s="34"/>
      <c r="F2195" s="34">
        <f>SUM(F2196:F2203)</f>
        <v>28384.777376025</v>
      </c>
    </row>
    <row r="2196" ht="15" customHeight="1" spans="1:6">
      <c r="A2196" s="7"/>
      <c r="B2196" s="273" t="s">
        <v>996</v>
      </c>
      <c r="C2196" s="273" t="s">
        <v>169</v>
      </c>
      <c r="D2196" s="34">
        <f t="shared" si="150"/>
        <v>2238.008025</v>
      </c>
      <c r="E2196" s="34">
        <v>0.41</v>
      </c>
      <c r="F2196" s="34">
        <f t="shared" si="151"/>
        <v>917.58329025</v>
      </c>
    </row>
    <row r="2197" ht="15" customHeight="1" spans="1:6">
      <c r="A2197" s="7"/>
      <c r="B2197" s="273" t="s">
        <v>1066</v>
      </c>
      <c r="C2197" s="273" t="s">
        <v>863</v>
      </c>
      <c r="D2197" s="34">
        <f t="shared" si="150"/>
        <v>4.44</v>
      </c>
      <c r="E2197" s="34">
        <v>730</v>
      </c>
      <c r="F2197" s="34">
        <f t="shared" si="151"/>
        <v>3241.2</v>
      </c>
    </row>
    <row r="2198" ht="15" customHeight="1" spans="1:6">
      <c r="A2198" s="7"/>
      <c r="B2198" s="273" t="s">
        <v>998</v>
      </c>
      <c r="C2198" s="273" t="s">
        <v>863</v>
      </c>
      <c r="D2198" s="34">
        <f t="shared" si="150"/>
        <v>4.5</v>
      </c>
      <c r="E2198" s="34">
        <v>340</v>
      </c>
      <c r="F2198" s="34">
        <f t="shared" si="151"/>
        <v>1530</v>
      </c>
    </row>
    <row r="2199" ht="15" customHeight="1" spans="1:6">
      <c r="A2199" s="7"/>
      <c r="B2199" s="273" t="s">
        <v>999</v>
      </c>
      <c r="C2199" s="273" t="s">
        <v>863</v>
      </c>
      <c r="D2199" s="34">
        <f t="shared" si="150"/>
        <v>5.15</v>
      </c>
      <c r="E2199" s="34">
        <v>451.8</v>
      </c>
      <c r="F2199" s="34">
        <f t="shared" si="151"/>
        <v>2326.77</v>
      </c>
    </row>
    <row r="2200" ht="15" customHeight="1" spans="1:6">
      <c r="A2200" s="7"/>
      <c r="B2200" s="273" t="s">
        <v>1002</v>
      </c>
      <c r="C2200" s="273" t="s">
        <v>863</v>
      </c>
      <c r="D2200" s="34">
        <f>D2155</f>
        <v>5.97</v>
      </c>
      <c r="E2200" s="34">
        <v>2.27</v>
      </c>
      <c r="F2200" s="34">
        <f t="shared" si="151"/>
        <v>13.5519</v>
      </c>
    </row>
    <row r="2201" ht="15" customHeight="1" spans="1:6">
      <c r="A2201" s="7"/>
      <c r="B2201" s="7" t="s">
        <v>1025</v>
      </c>
      <c r="C2201" s="7" t="s">
        <v>169</v>
      </c>
      <c r="D2201" s="34">
        <f>配合比!M11</f>
        <v>188.0418245</v>
      </c>
      <c r="E2201" s="34">
        <v>103</v>
      </c>
      <c r="F2201" s="34">
        <f t="shared" si="151"/>
        <v>19368.3079235</v>
      </c>
    </row>
    <row r="2202" ht="15" customHeight="1" spans="1:6">
      <c r="A2202" s="7"/>
      <c r="B2202" s="7" t="s">
        <v>913</v>
      </c>
      <c r="C2202" s="7" t="s">
        <v>169</v>
      </c>
      <c r="D2202" s="34">
        <f>材料预算价!K13</f>
        <v>3.59</v>
      </c>
      <c r="E2202" s="34">
        <v>120</v>
      </c>
      <c r="F2202" s="34">
        <f t="shared" si="151"/>
        <v>430.8</v>
      </c>
    </row>
    <row r="2203" ht="15" customHeight="1" spans="1:6">
      <c r="A2203" s="7"/>
      <c r="B2203" s="7" t="s">
        <v>1004</v>
      </c>
      <c r="C2203" s="9" t="s">
        <v>845</v>
      </c>
      <c r="D2203" s="34">
        <f>SUM(F2196:F2202)</f>
        <v>27828.21311375</v>
      </c>
      <c r="E2203" s="34">
        <v>2</v>
      </c>
      <c r="F2203" s="34">
        <f>D2203*E2203/100</f>
        <v>556.564262275</v>
      </c>
    </row>
    <row r="2204" ht="15" customHeight="1" spans="1:6">
      <c r="A2204" s="7">
        <v>3</v>
      </c>
      <c r="B2204" s="7" t="s">
        <v>859</v>
      </c>
      <c r="C2204" s="7"/>
      <c r="D2204" s="34"/>
      <c r="E2204" s="34"/>
      <c r="F2204" s="34">
        <f>SUM(F2205:F2211)</f>
        <v>2775.5943506272</v>
      </c>
    </row>
    <row r="2205" ht="15" customHeight="1" spans="1:6">
      <c r="A2205" s="7"/>
      <c r="B2205" s="7" t="s">
        <v>1069</v>
      </c>
      <c r="C2205" s="7" t="s">
        <v>428</v>
      </c>
      <c r="D2205" s="34">
        <f>D2163</f>
        <v>1.82152692461109</v>
      </c>
      <c r="E2205" s="34">
        <v>2.59</v>
      </c>
      <c r="F2205" s="34">
        <f t="shared" ref="F2205:F2210" si="152">D2205*E2205</f>
        <v>4.71775473474272</v>
      </c>
    </row>
    <row r="2206" ht="15" customHeight="1" spans="1:6">
      <c r="A2206" s="7"/>
      <c r="B2206" s="7" t="s">
        <v>1075</v>
      </c>
      <c r="C2206" s="7" t="s">
        <v>428</v>
      </c>
      <c r="D2206" s="34">
        <f>台时!F84</f>
        <v>62.3342780215397</v>
      </c>
      <c r="E2206" s="34">
        <v>6.93</v>
      </c>
      <c r="F2206" s="34">
        <f t="shared" si="152"/>
        <v>431.97654668927</v>
      </c>
    </row>
    <row r="2207" ht="15" customHeight="1" spans="1:6">
      <c r="A2207" s="7"/>
      <c r="B2207" s="7" t="s">
        <v>1005</v>
      </c>
      <c r="C2207" s="7" t="s">
        <v>428</v>
      </c>
      <c r="D2207" s="34">
        <f>D2160</f>
        <v>8.3371858795373</v>
      </c>
      <c r="E2207" s="34">
        <v>7.38</v>
      </c>
      <c r="F2207" s="34">
        <f t="shared" si="152"/>
        <v>61.5284317909852</v>
      </c>
    </row>
    <row r="2208" ht="15" customHeight="1" spans="1:6">
      <c r="A2208" s="7"/>
      <c r="B2208" s="7" t="s">
        <v>1048</v>
      </c>
      <c r="C2208" s="7" t="s">
        <v>428</v>
      </c>
      <c r="D2208" s="34">
        <f>D2161</f>
        <v>49.389824491424</v>
      </c>
      <c r="E2208" s="251">
        <v>18.54</v>
      </c>
      <c r="F2208" s="34">
        <f t="shared" si="152"/>
        <v>915.687346071001</v>
      </c>
    </row>
    <row r="2209" ht="15" customHeight="1" spans="1:6">
      <c r="A2209" s="7"/>
      <c r="B2209" s="7" t="s">
        <v>1009</v>
      </c>
      <c r="C2209" s="7" t="s">
        <v>428</v>
      </c>
      <c r="D2209" s="34">
        <f>台时!F88</f>
        <v>28</v>
      </c>
      <c r="E2209" s="251">
        <v>35.6</v>
      </c>
      <c r="F2209" s="34">
        <f t="shared" si="152"/>
        <v>996.8</v>
      </c>
    </row>
    <row r="2210" ht="15" customHeight="1" spans="1:6">
      <c r="A2210" s="7"/>
      <c r="B2210" s="7" t="s">
        <v>967</v>
      </c>
      <c r="C2210" s="7" t="s">
        <v>428</v>
      </c>
      <c r="D2210" s="34">
        <f>D2164</f>
        <v>0.813242919824491</v>
      </c>
      <c r="E2210" s="251">
        <v>83</v>
      </c>
      <c r="F2210" s="34">
        <f t="shared" si="152"/>
        <v>67.4991623454328</v>
      </c>
    </row>
    <row r="2211" ht="15" customHeight="1" spans="1:6">
      <c r="A2211" s="7"/>
      <c r="B2211" s="7" t="s">
        <v>918</v>
      </c>
      <c r="C2211" s="9" t="s">
        <v>845</v>
      </c>
      <c r="D2211" s="34">
        <f>SUM(F2205:F2210)</f>
        <v>2478.20924163143</v>
      </c>
      <c r="E2211" s="34">
        <v>12</v>
      </c>
      <c r="F2211" s="34">
        <f>D2211*E2211/100</f>
        <v>297.385108995772</v>
      </c>
    </row>
    <row r="2212" ht="15" customHeight="1" spans="1:6">
      <c r="A2212" s="5">
        <v>4</v>
      </c>
      <c r="B2212" s="5" t="s">
        <v>1010</v>
      </c>
      <c r="C2212" s="275"/>
      <c r="D2212" s="276"/>
      <c r="E2212" s="276"/>
      <c r="F2212" s="276">
        <f>SUM(F2213:F2214)</f>
        <v>1991.65619138815</v>
      </c>
    </row>
    <row r="2213" ht="15" customHeight="1" spans="1:6">
      <c r="A2213" s="7"/>
      <c r="B2213" s="123" t="s">
        <v>681</v>
      </c>
      <c r="C2213" s="123" t="s">
        <v>169</v>
      </c>
      <c r="D2213" s="274">
        <f>$F$2795/100</f>
        <v>5.03319379720782</v>
      </c>
      <c r="E2213" s="274">
        <v>103</v>
      </c>
      <c r="F2213" s="34">
        <f>D2213*E2213</f>
        <v>518.418961112405</v>
      </c>
    </row>
    <row r="2214" ht="15" customHeight="1" spans="1:6">
      <c r="A2214" s="7"/>
      <c r="B2214" s="123" t="s">
        <v>682</v>
      </c>
      <c r="C2214" s="123" t="s">
        <v>169</v>
      </c>
      <c r="D2214" s="274">
        <f>$F$2813/100</f>
        <v>14.303274080347</v>
      </c>
      <c r="E2214" s="274">
        <v>103</v>
      </c>
      <c r="F2214" s="34">
        <f>D2214*E2214</f>
        <v>1473.23723027574</v>
      </c>
    </row>
    <row r="2215" ht="15" customHeight="1" spans="1:6">
      <c r="A2215" s="7" t="s">
        <v>564</v>
      </c>
      <c r="B2215" s="7" t="s">
        <v>846</v>
      </c>
      <c r="C2215" s="230">
        <f>取费表!$C$7</f>
        <v>0.048</v>
      </c>
      <c r="D2215" s="274"/>
      <c r="E2215" s="274">
        <f>F2191</f>
        <v>56210.0949180403</v>
      </c>
      <c r="F2215" s="34">
        <f t="shared" ref="F2215:F2218" si="153">E2215*C2215</f>
        <v>2698.08455606594</v>
      </c>
    </row>
    <row r="2216" ht="15" customHeight="1" spans="1:6">
      <c r="A2216" s="7"/>
      <c r="B2216" s="7"/>
      <c r="C2216" s="230"/>
      <c r="D2216" s="274"/>
      <c r="E2216" s="274"/>
      <c r="F2216" s="34"/>
    </row>
    <row r="2217" ht="15" customHeight="1" spans="1:6">
      <c r="A2217" s="7" t="s">
        <v>439</v>
      </c>
      <c r="B2217" s="7" t="s">
        <v>847</v>
      </c>
      <c r="C2217" s="230">
        <f>取费表!$E$7</f>
        <v>0.07</v>
      </c>
      <c r="D2217" s="274"/>
      <c r="E2217" s="274">
        <f>F2190</f>
        <v>58908.1794741063</v>
      </c>
      <c r="F2217" s="34">
        <f t="shared" si="153"/>
        <v>4123.57256318744</v>
      </c>
    </row>
    <row r="2218" ht="15" customHeight="1" spans="1:6">
      <c r="A2218" s="7" t="s">
        <v>83</v>
      </c>
      <c r="B2218" s="7" t="s">
        <v>848</v>
      </c>
      <c r="C2218" s="230">
        <f>取费表!$F$7</f>
        <v>0.07</v>
      </c>
      <c r="D2218" s="274"/>
      <c r="E2218" s="274">
        <f>F2217+F2190</f>
        <v>63031.7520372937</v>
      </c>
      <c r="F2218" s="34">
        <f t="shared" si="153"/>
        <v>4412.22264261056</v>
      </c>
    </row>
    <row r="2219" ht="15" customHeight="1" spans="1:6">
      <c r="A2219" s="5" t="s">
        <v>121</v>
      </c>
      <c r="B2219" s="5" t="s">
        <v>861</v>
      </c>
      <c r="C2219" s="275"/>
      <c r="D2219" s="276"/>
      <c r="E2219" s="5"/>
      <c r="F2219" s="277">
        <f>F2220+F2225</f>
        <v>10192.7823619433</v>
      </c>
    </row>
    <row r="2220" ht="15" customHeight="1" spans="1:6">
      <c r="A2220" s="7">
        <v>1</v>
      </c>
      <c r="B2220" s="7" t="s">
        <v>1011</v>
      </c>
      <c r="C2220" s="9"/>
      <c r="D2220" s="34"/>
      <c r="E2220" s="7"/>
      <c r="F2220" s="69">
        <f>SUM(F2221:F2224)</f>
        <v>9639.80211194332</v>
      </c>
    </row>
    <row r="2221" ht="15" customHeight="1" spans="1:6">
      <c r="A2221" s="7"/>
      <c r="B2221" s="7"/>
      <c r="C2221" s="7"/>
      <c r="D2221" s="34"/>
      <c r="E2221" s="34"/>
      <c r="F2221" s="69"/>
    </row>
    <row r="2222" ht="15" customHeight="1" spans="1:6">
      <c r="A2222" s="7"/>
      <c r="B2222" s="7" t="s">
        <v>979</v>
      </c>
      <c r="C2222" s="7" t="s">
        <v>200</v>
      </c>
      <c r="D2222" s="34">
        <f>材料预算价!K5-材料预算价!L5</f>
        <v>141.58936</v>
      </c>
      <c r="E2222" s="34">
        <f>E2201*配合比!E11</f>
        <v>37.58161</v>
      </c>
      <c r="F2222" s="69">
        <f t="shared" ref="F2222:F2224" si="154">D2222*E2222</f>
        <v>5321.1561076696</v>
      </c>
    </row>
    <row r="2223" ht="15" customHeight="1" spans="1:6">
      <c r="A2223" s="7"/>
      <c r="B2223" s="7" t="s">
        <v>961</v>
      </c>
      <c r="C2223" s="7" t="s">
        <v>169</v>
      </c>
      <c r="D2223" s="34">
        <f>D2177</f>
        <v>34.366056</v>
      </c>
      <c r="E2223" s="34">
        <f>E2201*配合比!G11</f>
        <v>52.18598</v>
      </c>
      <c r="F2223" s="69">
        <f t="shared" si="154"/>
        <v>1793.42631109488</v>
      </c>
    </row>
    <row r="2224" ht="15" customHeight="1" spans="1:6">
      <c r="A2224" s="7"/>
      <c r="B2224" s="7" t="s">
        <v>1012</v>
      </c>
      <c r="C2224" s="7" t="s">
        <v>169</v>
      </c>
      <c r="D2224" s="34">
        <f>D2178</f>
        <v>29.13701</v>
      </c>
      <c r="E2224" s="34">
        <f>E2201*配合比!I11</f>
        <v>86.667084</v>
      </c>
      <c r="F2224" s="69">
        <f t="shared" si="154"/>
        <v>2525.21969317884</v>
      </c>
    </row>
    <row r="2225" ht="15" customHeight="1" spans="1:6">
      <c r="A2225" s="7">
        <v>2</v>
      </c>
      <c r="B2225" s="7" t="s">
        <v>1013</v>
      </c>
      <c r="C2225" s="7"/>
      <c r="D2225" s="34"/>
      <c r="E2225" s="38"/>
      <c r="F2225" s="69">
        <f>SUM(F2226:F2227)</f>
        <v>552.98025</v>
      </c>
    </row>
    <row r="2226" ht="15" customHeight="1" spans="1:6">
      <c r="A2226" s="7"/>
      <c r="B2226" s="7" t="s">
        <v>1014</v>
      </c>
      <c r="C2226" s="7" t="s">
        <v>863</v>
      </c>
      <c r="D2226" s="34">
        <f>D2180</f>
        <v>5.925</v>
      </c>
      <c r="E2226" s="38">
        <f>E2206*5.8+E2207*7.2</f>
        <v>93.33</v>
      </c>
      <c r="F2226" s="69">
        <f>D2226*E2226</f>
        <v>552.98025</v>
      </c>
    </row>
    <row r="2227" ht="15" customHeight="1" spans="1:6">
      <c r="A2227" s="7"/>
      <c r="B2227" s="7" t="s">
        <v>862</v>
      </c>
      <c r="C2227" s="7" t="s">
        <v>863</v>
      </c>
      <c r="D2227" s="34">
        <f>D2181</f>
        <v>4.58</v>
      </c>
      <c r="E2227" s="38"/>
      <c r="F2227" s="69">
        <f>D2227*E2227</f>
        <v>0</v>
      </c>
    </row>
    <row r="2228" ht="15" customHeight="1" spans="1:6">
      <c r="A2228" s="7" t="s">
        <v>135</v>
      </c>
      <c r="B2228" s="7" t="s">
        <v>849</v>
      </c>
      <c r="C2228" s="231">
        <f>C2182</f>
        <v>0.09</v>
      </c>
      <c r="D2228" s="34"/>
      <c r="E2228" s="34">
        <f>F2219+F2218+F2217+F2190</f>
        <v>77636.7570418476</v>
      </c>
      <c r="F2228" s="34">
        <f>E2228*C2228</f>
        <v>6987.30813376629</v>
      </c>
    </row>
    <row r="2229" ht="15" customHeight="1" spans="1:6">
      <c r="A2229" s="7"/>
      <c r="B2229" s="7" t="s">
        <v>850</v>
      </c>
      <c r="C2229" s="231"/>
      <c r="D2229" s="34"/>
      <c r="E2229" s="34"/>
      <c r="F2229" s="34">
        <f>(F2190+F2217+F2218+F2219+F2228)*取费表!H7</f>
        <v>2538.72195526842</v>
      </c>
    </row>
    <row r="2230" ht="15" customHeight="1" spans="1:6">
      <c r="A2230" s="7"/>
      <c r="B2230" s="7" t="s">
        <v>156</v>
      </c>
      <c r="C2230" s="7"/>
      <c r="D2230" s="34"/>
      <c r="E2230" s="34"/>
      <c r="F2230" s="34">
        <f>F2228+E2228+F2229</f>
        <v>87162.7871308823</v>
      </c>
    </row>
    <row r="2231" ht="15" customHeight="1" spans="1:12">
      <c r="A2231" s="248" t="s">
        <v>881</v>
      </c>
      <c r="B2231" s="225"/>
      <c r="C2231" s="225"/>
      <c r="D2231" s="225"/>
      <c r="E2231" s="225"/>
      <c r="F2231" s="225"/>
      <c r="G2231" s="248" t="s">
        <v>881</v>
      </c>
      <c r="H2231" s="225"/>
      <c r="I2231" s="225"/>
      <c r="J2231" s="225"/>
      <c r="K2231" s="225"/>
      <c r="L2231" s="225"/>
    </row>
    <row r="2232" ht="15" customHeight="1" spans="1:12">
      <c r="A2232" s="278" t="s">
        <v>1076</v>
      </c>
      <c r="B2232" s="272"/>
      <c r="C2232" s="272"/>
      <c r="D2232" s="272"/>
      <c r="E2232" s="272"/>
      <c r="F2232" s="272"/>
      <c r="G2232" s="278" t="s">
        <v>1077</v>
      </c>
      <c r="H2232" s="272"/>
      <c r="I2232" s="272"/>
      <c r="J2232" s="272"/>
      <c r="K2232" s="272"/>
      <c r="L2232" s="272"/>
    </row>
    <row r="2233" ht="15" customHeight="1" spans="1:12">
      <c r="A2233" s="227" t="s">
        <v>1078</v>
      </c>
      <c r="B2233" s="228"/>
      <c r="C2233" s="272"/>
      <c r="D2233" s="272"/>
      <c r="E2233" s="228" t="s">
        <v>832</v>
      </c>
      <c r="F2233" s="228"/>
      <c r="G2233" s="227" t="s">
        <v>1078</v>
      </c>
      <c r="H2233" s="228"/>
      <c r="I2233" s="272"/>
      <c r="J2233" s="272"/>
      <c r="K2233" s="228" t="s">
        <v>832</v>
      </c>
      <c r="L2233" s="228"/>
    </row>
    <row r="2234" ht="15" customHeight="1" spans="1:12">
      <c r="A2234" s="146" t="s">
        <v>911</v>
      </c>
      <c r="B2234" s="233"/>
      <c r="C2234" s="233"/>
      <c r="D2234" s="233"/>
      <c r="E2234" s="233"/>
      <c r="F2234" s="147"/>
      <c r="G2234" s="146" t="s">
        <v>911</v>
      </c>
      <c r="H2234" s="233"/>
      <c r="I2234" s="233"/>
      <c r="J2234" s="233"/>
      <c r="K2234" s="233"/>
      <c r="L2234" s="147"/>
    </row>
    <row r="2235" ht="15" customHeight="1" spans="1:12">
      <c r="A2235" s="7" t="s">
        <v>104</v>
      </c>
      <c r="B2235" s="7" t="s">
        <v>835</v>
      </c>
      <c r="C2235" s="7" t="s">
        <v>159</v>
      </c>
      <c r="D2235" s="7" t="s">
        <v>422</v>
      </c>
      <c r="E2235" s="7" t="s">
        <v>160</v>
      </c>
      <c r="F2235" s="7" t="s">
        <v>18</v>
      </c>
      <c r="G2235" s="7" t="s">
        <v>104</v>
      </c>
      <c r="H2235" s="7" t="s">
        <v>835</v>
      </c>
      <c r="I2235" s="7" t="s">
        <v>159</v>
      </c>
      <c r="J2235" s="7" t="s">
        <v>422</v>
      </c>
      <c r="K2235" s="7" t="s">
        <v>160</v>
      </c>
      <c r="L2235" s="7" t="s">
        <v>18</v>
      </c>
    </row>
    <row r="2236" ht="15" customHeight="1" spans="1:12">
      <c r="A2236" s="7" t="s">
        <v>836</v>
      </c>
      <c r="B2236" s="7" t="s">
        <v>837</v>
      </c>
      <c r="C2236" s="7"/>
      <c r="D2236" s="7"/>
      <c r="E2236" s="7"/>
      <c r="F2236" s="34">
        <f>F2237+F2261+F2262</f>
        <v>31616.9889274095</v>
      </c>
      <c r="G2236" s="7" t="s">
        <v>836</v>
      </c>
      <c r="H2236" s="7" t="s">
        <v>837</v>
      </c>
      <c r="I2236" s="7"/>
      <c r="J2236" s="7"/>
      <c r="K2236" s="7"/>
      <c r="L2236" s="34">
        <f>L2237+L2261+L2262</f>
        <v>33248.7285916367</v>
      </c>
    </row>
    <row r="2237" ht="15" customHeight="1" spans="1:12">
      <c r="A2237" s="7" t="s">
        <v>539</v>
      </c>
      <c r="B2237" s="7" t="s">
        <v>838</v>
      </c>
      <c r="C2237" s="7"/>
      <c r="D2237" s="7"/>
      <c r="E2237" s="7"/>
      <c r="F2237" s="34">
        <f>F2238+F2241+F2251+F2258</f>
        <v>30168.882564322</v>
      </c>
      <c r="G2237" s="7" t="s">
        <v>539</v>
      </c>
      <c r="H2237" s="7" t="s">
        <v>838</v>
      </c>
      <c r="I2237" s="7"/>
      <c r="J2237" s="7"/>
      <c r="K2237" s="7"/>
      <c r="L2237" s="34">
        <f>L2238+L2241+L2251+L2258</f>
        <v>31725.886060722</v>
      </c>
    </row>
    <row r="2238" ht="15" customHeight="1" spans="1:12">
      <c r="A2238" s="7">
        <v>1</v>
      </c>
      <c r="B2238" s="7" t="s">
        <v>839</v>
      </c>
      <c r="C2238" s="7" t="s">
        <v>840</v>
      </c>
      <c r="D2238" s="34"/>
      <c r="E2238" s="42">
        <f>SUM(E2239:E2240)</f>
        <v>1059.8</v>
      </c>
      <c r="F2238" s="69">
        <f>SUM(F2239:F2240)</f>
        <v>7794.277</v>
      </c>
      <c r="G2238" s="7">
        <v>1</v>
      </c>
      <c r="H2238" s="7" t="s">
        <v>839</v>
      </c>
      <c r="I2238" s="7" t="s">
        <v>840</v>
      </c>
      <c r="J2238" s="34"/>
      <c r="K2238" s="42">
        <f>SUM(K2239:K2240)</f>
        <v>1059.8</v>
      </c>
      <c r="L2238" s="69">
        <f>SUM(L2239:L2240)</f>
        <v>7794.277</v>
      </c>
    </row>
    <row r="2239" s="217" customFormat="1" ht="15" customHeight="1" spans="1:12">
      <c r="A2239" s="7"/>
      <c r="B2239" s="7" t="s">
        <v>841</v>
      </c>
      <c r="C2239" s="7" t="s">
        <v>840</v>
      </c>
      <c r="D2239" s="69">
        <f>D2147</f>
        <v>8.1</v>
      </c>
      <c r="E2239" s="42">
        <v>720.7</v>
      </c>
      <c r="F2239" s="69">
        <f>D2239*E2239</f>
        <v>5837.67</v>
      </c>
      <c r="G2239" s="7"/>
      <c r="H2239" s="7" t="s">
        <v>841</v>
      </c>
      <c r="I2239" s="7" t="s">
        <v>840</v>
      </c>
      <c r="J2239" s="69">
        <f>D2239</f>
        <v>8.1</v>
      </c>
      <c r="K2239" s="42">
        <v>720.7</v>
      </c>
      <c r="L2239" s="69">
        <f>J2239*K2239</f>
        <v>5837.67</v>
      </c>
    </row>
    <row r="2240" s="217" customFormat="1" ht="15" customHeight="1" spans="1:12">
      <c r="A2240" s="7"/>
      <c r="B2240" s="7" t="s">
        <v>842</v>
      </c>
      <c r="C2240" s="7" t="s">
        <v>840</v>
      </c>
      <c r="D2240" s="69">
        <f>D2148</f>
        <v>5.77</v>
      </c>
      <c r="E2240" s="42">
        <v>339.1</v>
      </c>
      <c r="F2240" s="69">
        <f>D2240*E2240</f>
        <v>1956.607</v>
      </c>
      <c r="G2240" s="7"/>
      <c r="H2240" s="7" t="s">
        <v>842</v>
      </c>
      <c r="I2240" s="7" t="s">
        <v>840</v>
      </c>
      <c r="J2240" s="69">
        <f>D2240</f>
        <v>5.77</v>
      </c>
      <c r="K2240" s="42">
        <v>339.1</v>
      </c>
      <c r="L2240" s="69">
        <f>J2240*K2240</f>
        <v>1956.607</v>
      </c>
    </row>
    <row r="2241" ht="15" customHeight="1" spans="1:12">
      <c r="A2241" s="7">
        <v>2</v>
      </c>
      <c r="B2241" s="7" t="s">
        <v>912</v>
      </c>
      <c r="C2241" s="7"/>
      <c r="D2241" s="34"/>
      <c r="E2241" s="34"/>
      <c r="F2241" s="34">
        <f>SUM(F2242:F2250)</f>
        <v>19647.77110381</v>
      </c>
      <c r="G2241" s="7">
        <v>2</v>
      </c>
      <c r="H2241" s="7" t="s">
        <v>912</v>
      </c>
      <c r="I2241" s="7"/>
      <c r="J2241" s="34"/>
      <c r="K2241" s="34"/>
      <c r="L2241" s="34">
        <f>SUM(L2242:L2250)</f>
        <v>21204.77460021</v>
      </c>
    </row>
    <row r="2242" ht="15" customHeight="1" spans="1:12">
      <c r="A2242" s="7"/>
      <c r="B2242" s="273" t="s">
        <v>996</v>
      </c>
      <c r="C2242" s="273" t="s">
        <v>169</v>
      </c>
      <c r="D2242" s="34">
        <f>D2150</f>
        <v>2238.008025</v>
      </c>
      <c r="E2242" s="34">
        <v>0.02</v>
      </c>
      <c r="F2242" s="34">
        <f t="shared" ref="F2242:F2249" si="155">D2242*E2242</f>
        <v>44.7601605</v>
      </c>
      <c r="G2242" s="7"/>
      <c r="H2242" s="273" t="s">
        <v>996</v>
      </c>
      <c r="I2242" s="273" t="s">
        <v>169</v>
      </c>
      <c r="J2242" s="34">
        <f t="shared" ref="J2242:J2249" si="156">D2242</f>
        <v>2238.008025</v>
      </c>
      <c r="K2242" s="34">
        <v>0.02</v>
      </c>
      <c r="L2242" s="34">
        <f t="shared" ref="L2242:L2249" si="157">J2242*K2242</f>
        <v>44.7601605</v>
      </c>
    </row>
    <row r="2243" ht="15" customHeight="1" spans="1:12">
      <c r="A2243" s="7"/>
      <c r="B2243" s="273" t="s">
        <v>1066</v>
      </c>
      <c r="C2243" s="273" t="s">
        <v>863</v>
      </c>
      <c r="D2243" s="34">
        <f>基础材料表!D34</f>
        <v>4.44</v>
      </c>
      <c r="E2243" s="34">
        <v>76.36</v>
      </c>
      <c r="F2243" s="34">
        <f t="shared" si="155"/>
        <v>339.0384</v>
      </c>
      <c r="G2243" s="7"/>
      <c r="H2243" s="273" t="s">
        <v>1066</v>
      </c>
      <c r="I2243" s="273" t="s">
        <v>863</v>
      </c>
      <c r="J2243" s="34">
        <f t="shared" si="156"/>
        <v>4.44</v>
      </c>
      <c r="K2243" s="34">
        <v>76.36</v>
      </c>
      <c r="L2243" s="34">
        <f t="shared" si="157"/>
        <v>339.0384</v>
      </c>
    </row>
    <row r="2244" ht="15" customHeight="1" spans="1:12">
      <c r="A2244" s="7"/>
      <c r="B2244" s="273" t="s">
        <v>998</v>
      </c>
      <c r="C2244" s="273" t="s">
        <v>863</v>
      </c>
      <c r="D2244" s="34">
        <f>基础材料表!D30</f>
        <v>4.5</v>
      </c>
      <c r="E2244" s="34">
        <v>54.71</v>
      </c>
      <c r="F2244" s="34">
        <f t="shared" si="155"/>
        <v>246.195</v>
      </c>
      <c r="G2244" s="7"/>
      <c r="H2244" s="273" t="s">
        <v>998</v>
      </c>
      <c r="I2244" s="273" t="s">
        <v>863</v>
      </c>
      <c r="J2244" s="34">
        <f t="shared" si="156"/>
        <v>4.5</v>
      </c>
      <c r="K2244" s="34">
        <v>54.71</v>
      </c>
      <c r="L2244" s="34">
        <f t="shared" si="157"/>
        <v>246.195</v>
      </c>
    </row>
    <row r="2245" ht="15" customHeight="1" spans="1:12">
      <c r="A2245" s="7"/>
      <c r="B2245" s="273" t="s">
        <v>999</v>
      </c>
      <c r="C2245" s="273" t="s">
        <v>863</v>
      </c>
      <c r="D2245" s="34">
        <f>基础材料表!D16</f>
        <v>5.15</v>
      </c>
      <c r="E2245" s="34">
        <v>43.7</v>
      </c>
      <c r="F2245" s="34">
        <f t="shared" si="155"/>
        <v>225.055</v>
      </c>
      <c r="G2245" s="7"/>
      <c r="H2245" s="273" t="s">
        <v>999</v>
      </c>
      <c r="I2245" s="273" t="s">
        <v>863</v>
      </c>
      <c r="J2245" s="34">
        <f t="shared" si="156"/>
        <v>5.15</v>
      </c>
      <c r="K2245" s="34">
        <v>43.7</v>
      </c>
      <c r="L2245" s="34">
        <f t="shared" si="157"/>
        <v>225.055</v>
      </c>
    </row>
    <row r="2246" ht="15" customHeight="1" spans="1:12">
      <c r="A2246" s="7"/>
      <c r="B2246" s="273" t="s">
        <v>1001</v>
      </c>
      <c r="C2246" s="273" t="s">
        <v>863</v>
      </c>
      <c r="D2246" s="34">
        <f>基础材料表!D32</f>
        <v>6.39</v>
      </c>
      <c r="E2246" s="34">
        <v>287.67</v>
      </c>
      <c r="F2246" s="34">
        <f t="shared" si="155"/>
        <v>1838.2113</v>
      </c>
      <c r="G2246" s="7"/>
      <c r="H2246" s="273" t="s">
        <v>1001</v>
      </c>
      <c r="I2246" s="273" t="s">
        <v>863</v>
      </c>
      <c r="J2246" s="34">
        <f t="shared" si="156"/>
        <v>6.39</v>
      </c>
      <c r="K2246" s="34">
        <v>287.67</v>
      </c>
      <c r="L2246" s="34">
        <f t="shared" si="157"/>
        <v>1838.2113</v>
      </c>
    </row>
    <row r="2247" ht="15" customHeight="1" spans="1:12">
      <c r="A2247" s="7"/>
      <c r="B2247" s="273" t="s">
        <v>1002</v>
      </c>
      <c r="C2247" s="273" t="s">
        <v>863</v>
      </c>
      <c r="D2247" s="34">
        <f>基础材料表!D5</f>
        <v>5.97</v>
      </c>
      <c r="E2247" s="34">
        <v>6.06</v>
      </c>
      <c r="F2247" s="34">
        <f t="shared" si="155"/>
        <v>36.1782</v>
      </c>
      <c r="G2247" s="7"/>
      <c r="H2247" s="273" t="s">
        <v>1002</v>
      </c>
      <c r="I2247" s="273" t="s">
        <v>863</v>
      </c>
      <c r="J2247" s="34">
        <f t="shared" si="156"/>
        <v>5.97</v>
      </c>
      <c r="K2247" s="34">
        <v>6.06</v>
      </c>
      <c r="L2247" s="34">
        <f t="shared" si="157"/>
        <v>36.1782</v>
      </c>
    </row>
    <row r="2248" ht="15" customHeight="1" spans="1:12">
      <c r="A2248" s="7"/>
      <c r="B2248" s="7" t="s">
        <v>1043</v>
      </c>
      <c r="C2248" s="7" t="s">
        <v>169</v>
      </c>
      <c r="D2248" s="34">
        <f>配合比!M6</f>
        <v>161.2370707</v>
      </c>
      <c r="E2248" s="34">
        <v>103</v>
      </c>
      <c r="F2248" s="34">
        <f t="shared" si="155"/>
        <v>16607.4182821</v>
      </c>
      <c r="G2248" s="7"/>
      <c r="H2248" s="7" t="s">
        <v>1003</v>
      </c>
      <c r="I2248" s="7" t="s">
        <v>169</v>
      </c>
      <c r="J2248" s="34">
        <f>D2294</f>
        <v>176.3536095</v>
      </c>
      <c r="K2248" s="34">
        <v>103</v>
      </c>
      <c r="L2248" s="34">
        <f t="shared" si="157"/>
        <v>18164.4217785</v>
      </c>
    </row>
    <row r="2249" ht="15" customHeight="1" spans="1:12">
      <c r="A2249" s="7"/>
      <c r="B2249" s="7" t="s">
        <v>913</v>
      </c>
      <c r="C2249" s="7" t="s">
        <v>169</v>
      </c>
      <c r="D2249" s="34">
        <f>材料预算价!K13</f>
        <v>3.59</v>
      </c>
      <c r="E2249" s="34">
        <v>70</v>
      </c>
      <c r="F2249" s="34">
        <f t="shared" si="155"/>
        <v>251.3</v>
      </c>
      <c r="G2249" s="7"/>
      <c r="H2249" s="7" t="s">
        <v>913</v>
      </c>
      <c r="I2249" s="7" t="s">
        <v>169</v>
      </c>
      <c r="J2249" s="34">
        <f t="shared" si="156"/>
        <v>3.59</v>
      </c>
      <c r="K2249" s="34">
        <v>70</v>
      </c>
      <c r="L2249" s="34">
        <f t="shared" si="157"/>
        <v>251.3</v>
      </c>
    </row>
    <row r="2250" ht="15" customHeight="1" spans="1:12">
      <c r="A2250" s="7"/>
      <c r="B2250" s="7" t="s">
        <v>1004</v>
      </c>
      <c r="C2250" s="9" t="s">
        <v>845</v>
      </c>
      <c r="D2250" s="34">
        <f>F2242+F2243+F2244+F2245+F2246+F2247+F2249</f>
        <v>2980.7380605</v>
      </c>
      <c r="E2250" s="34">
        <v>2</v>
      </c>
      <c r="F2250" s="34">
        <f>D2250*E2250/100</f>
        <v>59.61476121</v>
      </c>
      <c r="G2250" s="7"/>
      <c r="H2250" s="7" t="s">
        <v>1004</v>
      </c>
      <c r="I2250" s="9" t="s">
        <v>845</v>
      </c>
      <c r="J2250" s="34">
        <f>L2242+L2243+L2244+L2245+L2246+L2247+L2249</f>
        <v>2980.7380605</v>
      </c>
      <c r="K2250" s="34">
        <v>2</v>
      </c>
      <c r="L2250" s="34">
        <f>J2250*K2250/100</f>
        <v>59.61476121</v>
      </c>
    </row>
    <row r="2251" ht="15" customHeight="1" spans="1:12">
      <c r="A2251" s="7">
        <v>3</v>
      </c>
      <c r="B2251" s="7" t="s">
        <v>859</v>
      </c>
      <c r="C2251" s="7"/>
      <c r="D2251" s="34"/>
      <c r="E2251" s="34"/>
      <c r="F2251" s="34">
        <f>SUM(F2252:F2257)</f>
        <v>735.178269123853</v>
      </c>
      <c r="G2251" s="7">
        <v>3</v>
      </c>
      <c r="H2251" s="7" t="s">
        <v>859</v>
      </c>
      <c r="I2251" s="7"/>
      <c r="J2251" s="34"/>
      <c r="K2251" s="34"/>
      <c r="L2251" s="34">
        <f>SUM(L2252:L2257)</f>
        <v>735.178269123853</v>
      </c>
    </row>
    <row r="2252" ht="15" customHeight="1" spans="1:12">
      <c r="A2252" s="7"/>
      <c r="B2252" s="7" t="s">
        <v>1009</v>
      </c>
      <c r="C2252" s="7" t="s">
        <v>428</v>
      </c>
      <c r="D2252" s="34">
        <f>台时!F42</f>
        <v>1.82152692461109</v>
      </c>
      <c r="E2252" s="34">
        <v>20</v>
      </c>
      <c r="F2252" s="34">
        <f>D2252*E2252</f>
        <v>36.4305384922218</v>
      </c>
      <c r="G2252" s="7"/>
      <c r="H2252" s="7" t="s">
        <v>1009</v>
      </c>
      <c r="I2252" s="7" t="s">
        <v>428</v>
      </c>
      <c r="J2252" s="34">
        <f>D2252</f>
        <v>1.82152692461109</v>
      </c>
      <c r="K2252" s="34">
        <v>20</v>
      </c>
      <c r="L2252" s="34">
        <f>J2252*K2252</f>
        <v>36.4305384922218</v>
      </c>
    </row>
    <row r="2253" ht="15" customHeight="1" spans="1:12">
      <c r="A2253" s="7"/>
      <c r="B2253" s="279" t="s">
        <v>1079</v>
      </c>
      <c r="C2253" s="7" t="s">
        <v>428</v>
      </c>
      <c r="D2253" s="34">
        <f>D2162</f>
        <v>23.9179521340247</v>
      </c>
      <c r="E2253" s="34">
        <v>18.54</v>
      </c>
      <c r="F2253" s="34">
        <f>D2253*E2253</f>
        <v>443.438832564818</v>
      </c>
      <c r="G2253" s="7"/>
      <c r="H2253" s="279" t="s">
        <v>1079</v>
      </c>
      <c r="I2253" s="7" t="s">
        <v>428</v>
      </c>
      <c r="J2253" s="34">
        <f>D2253</f>
        <v>23.9179521340247</v>
      </c>
      <c r="K2253" s="34">
        <v>18.54</v>
      </c>
      <c r="L2253" s="34">
        <f>J2253*K2253</f>
        <v>443.438832564818</v>
      </c>
    </row>
    <row r="2254" ht="15" customHeight="1" spans="1:12">
      <c r="A2254" s="7"/>
      <c r="B2254" s="7" t="s">
        <v>967</v>
      </c>
      <c r="C2254" s="7" t="s">
        <v>428</v>
      </c>
      <c r="D2254" s="34">
        <f>D2164</f>
        <v>0.813242919824491</v>
      </c>
      <c r="E2254" s="251">
        <v>83</v>
      </c>
      <c r="F2254" s="34">
        <f>D2254*E2254</f>
        <v>67.4991623454328</v>
      </c>
      <c r="G2254" s="7"/>
      <c r="H2254" s="7" t="s">
        <v>967</v>
      </c>
      <c r="I2254" s="7" t="s">
        <v>428</v>
      </c>
      <c r="J2254" s="34">
        <f>D2254</f>
        <v>0.813242919824491</v>
      </c>
      <c r="K2254" s="251">
        <v>83</v>
      </c>
      <c r="L2254" s="34">
        <f>J2254*K2254</f>
        <v>67.4991623454328</v>
      </c>
    </row>
    <row r="2255" ht="15" customHeight="1" spans="1:12">
      <c r="A2255" s="7"/>
      <c r="B2255" s="7" t="s">
        <v>1005</v>
      </c>
      <c r="C2255" s="7" t="s">
        <v>428</v>
      </c>
      <c r="D2255" s="34">
        <f>D2161</f>
        <v>49.389824491424</v>
      </c>
      <c r="E2255" s="251">
        <v>0.33</v>
      </c>
      <c r="F2255" s="34">
        <f>D2255*E2255</f>
        <v>16.2986420821699</v>
      </c>
      <c r="G2255" s="7"/>
      <c r="H2255" s="7" t="s">
        <v>1005</v>
      </c>
      <c r="I2255" s="7" t="s">
        <v>428</v>
      </c>
      <c r="J2255" s="34">
        <f>D2255</f>
        <v>49.389824491424</v>
      </c>
      <c r="K2255" s="251">
        <v>0.33</v>
      </c>
      <c r="L2255" s="34">
        <f>J2255*K2255</f>
        <v>16.2986420821699</v>
      </c>
    </row>
    <row r="2256" ht="15" customHeight="1" spans="1:12">
      <c r="A2256" s="7"/>
      <c r="B2256" s="273" t="s">
        <v>1080</v>
      </c>
      <c r="C2256" s="7" t="s">
        <v>428</v>
      </c>
      <c r="D2256" s="34">
        <f>台时!E84</f>
        <v>8.3371858795373</v>
      </c>
      <c r="E2256" s="251">
        <v>9.07</v>
      </c>
      <c r="F2256" s="34">
        <f>D2256*E2256</f>
        <v>75.6182759274033</v>
      </c>
      <c r="G2256" s="7"/>
      <c r="H2256" s="273" t="s">
        <v>1080</v>
      </c>
      <c r="I2256" s="7" t="s">
        <v>428</v>
      </c>
      <c r="J2256" s="34">
        <f>D2256</f>
        <v>8.3371858795373</v>
      </c>
      <c r="K2256" s="251">
        <v>9.07</v>
      </c>
      <c r="L2256" s="34">
        <f>J2256*K2256</f>
        <v>75.6182759274033</v>
      </c>
    </row>
    <row r="2257" ht="15" customHeight="1" spans="1:12">
      <c r="A2257" s="7"/>
      <c r="B2257" s="7" t="s">
        <v>918</v>
      </c>
      <c r="C2257" s="9" t="s">
        <v>845</v>
      </c>
      <c r="D2257" s="34">
        <f>SUM(F2252:F2256)</f>
        <v>639.285451412046</v>
      </c>
      <c r="E2257" s="34">
        <v>15</v>
      </c>
      <c r="F2257" s="34">
        <f>D2257*E2257/100</f>
        <v>95.8928177118069</v>
      </c>
      <c r="G2257" s="7"/>
      <c r="H2257" s="7" t="s">
        <v>918</v>
      </c>
      <c r="I2257" s="9" t="s">
        <v>845</v>
      </c>
      <c r="J2257" s="34">
        <f>SUM(L2252:L2256)</f>
        <v>639.285451412046</v>
      </c>
      <c r="K2257" s="34">
        <v>15</v>
      </c>
      <c r="L2257" s="34">
        <f>J2257*K2257/100</f>
        <v>95.8928177118069</v>
      </c>
    </row>
    <row r="2258" s="219" customFormat="1" ht="15" customHeight="1" spans="1:12">
      <c r="A2258" s="5">
        <v>4</v>
      </c>
      <c r="B2258" s="5" t="s">
        <v>1010</v>
      </c>
      <c r="C2258" s="275"/>
      <c r="D2258" s="276"/>
      <c r="E2258" s="276"/>
      <c r="F2258" s="276">
        <f>SUM(F2259:F2260)</f>
        <v>1991.65619138815</v>
      </c>
      <c r="G2258" s="5">
        <v>4</v>
      </c>
      <c r="H2258" s="5" t="s">
        <v>1010</v>
      </c>
      <c r="I2258" s="275"/>
      <c r="J2258" s="276"/>
      <c r="K2258" s="276"/>
      <c r="L2258" s="276">
        <f>SUM(L2259:L2260)</f>
        <v>1991.65619138815</v>
      </c>
    </row>
    <row r="2259" s="216" customFormat="1" ht="15" customHeight="1" spans="1:12">
      <c r="A2259" s="7"/>
      <c r="B2259" s="123" t="s">
        <v>681</v>
      </c>
      <c r="C2259" s="123" t="s">
        <v>169</v>
      </c>
      <c r="D2259" s="274">
        <f>$F$2795/100</f>
        <v>5.03319379720782</v>
      </c>
      <c r="E2259" s="274">
        <v>103</v>
      </c>
      <c r="F2259" s="34">
        <f>D2259*E2259</f>
        <v>518.418961112405</v>
      </c>
      <c r="G2259" s="7"/>
      <c r="H2259" s="123" t="s">
        <v>681</v>
      </c>
      <c r="I2259" s="123" t="s">
        <v>169</v>
      </c>
      <c r="J2259" s="274">
        <f>$F$2795/100</f>
        <v>5.03319379720782</v>
      </c>
      <c r="K2259" s="274">
        <v>103</v>
      </c>
      <c r="L2259" s="34">
        <f>J2259*K2259</f>
        <v>518.418961112405</v>
      </c>
    </row>
    <row r="2260" s="216" customFormat="1" ht="15" customHeight="1" spans="1:12">
      <c r="A2260" s="7"/>
      <c r="B2260" s="123" t="s">
        <v>682</v>
      </c>
      <c r="C2260" s="123" t="s">
        <v>169</v>
      </c>
      <c r="D2260" s="274">
        <f>$F$2813/100</f>
        <v>14.303274080347</v>
      </c>
      <c r="E2260" s="274">
        <v>103</v>
      </c>
      <c r="F2260" s="34">
        <f>D2260*E2260</f>
        <v>1473.23723027574</v>
      </c>
      <c r="G2260" s="7"/>
      <c r="H2260" s="123" t="s">
        <v>682</v>
      </c>
      <c r="I2260" s="123" t="s">
        <v>169</v>
      </c>
      <c r="J2260" s="274">
        <f>$F$2813/100</f>
        <v>14.303274080347</v>
      </c>
      <c r="K2260" s="274">
        <v>103</v>
      </c>
      <c r="L2260" s="34">
        <f>J2260*K2260</f>
        <v>1473.23723027574</v>
      </c>
    </row>
    <row r="2261" s="216" customFormat="1" ht="15" customHeight="1" spans="1:12">
      <c r="A2261" s="7" t="s">
        <v>564</v>
      </c>
      <c r="B2261" s="7" t="s">
        <v>846</v>
      </c>
      <c r="C2261" s="230">
        <f>取费表!$C$7</f>
        <v>0.048</v>
      </c>
      <c r="D2261" s="274"/>
      <c r="E2261" s="274">
        <f>F2237</f>
        <v>30168.882564322</v>
      </c>
      <c r="F2261" s="34">
        <f>E2261*C2261</f>
        <v>1448.10636308746</v>
      </c>
      <c r="G2261" s="7" t="s">
        <v>564</v>
      </c>
      <c r="H2261" s="7" t="s">
        <v>846</v>
      </c>
      <c r="I2261" s="230">
        <f>取费表!$C$7</f>
        <v>0.048</v>
      </c>
      <c r="J2261" s="274"/>
      <c r="K2261" s="274">
        <f>L2237</f>
        <v>31725.886060722</v>
      </c>
      <c r="L2261" s="34">
        <f>K2261*I2261</f>
        <v>1522.84253091466</v>
      </c>
    </row>
    <row r="2262" s="216" customFormat="1" ht="15" customHeight="1" spans="1:12">
      <c r="A2262" s="7"/>
      <c r="B2262" s="7"/>
      <c r="C2262" s="230"/>
      <c r="D2262" s="274"/>
      <c r="E2262" s="274"/>
      <c r="F2262" s="34"/>
      <c r="G2262" s="7"/>
      <c r="H2262" s="7"/>
      <c r="I2262" s="230"/>
      <c r="J2262" s="274"/>
      <c r="K2262" s="274"/>
      <c r="L2262" s="34"/>
    </row>
    <row r="2263" s="216" customFormat="1" ht="15" customHeight="1" spans="1:12">
      <c r="A2263" s="7" t="s">
        <v>439</v>
      </c>
      <c r="B2263" s="7" t="s">
        <v>847</v>
      </c>
      <c r="C2263" s="230">
        <f>取费表!$E$7</f>
        <v>0.07</v>
      </c>
      <c r="D2263" s="274"/>
      <c r="E2263" s="274">
        <f>F2236</f>
        <v>31616.9889274095</v>
      </c>
      <c r="F2263" s="34">
        <f>E2263*C2263</f>
        <v>2213.18922491866</v>
      </c>
      <c r="G2263" s="7" t="s">
        <v>439</v>
      </c>
      <c r="H2263" s="7" t="s">
        <v>847</v>
      </c>
      <c r="I2263" s="230">
        <f>取费表!$E$7</f>
        <v>0.07</v>
      </c>
      <c r="J2263" s="274"/>
      <c r="K2263" s="274">
        <f>L2236</f>
        <v>33248.7285916367</v>
      </c>
      <c r="L2263" s="34">
        <f>K2263*I2263</f>
        <v>2327.41100141457</v>
      </c>
    </row>
    <row r="2264" s="216" customFormat="1" ht="15" customHeight="1" spans="1:12">
      <c r="A2264" s="7" t="s">
        <v>83</v>
      </c>
      <c r="B2264" s="7" t="s">
        <v>848</v>
      </c>
      <c r="C2264" s="230">
        <f>取费表!$F$7</f>
        <v>0.07</v>
      </c>
      <c r="D2264" s="274"/>
      <c r="E2264" s="274">
        <f>F2263+F2236</f>
        <v>33830.1781523281</v>
      </c>
      <c r="F2264" s="34">
        <f>E2264*C2264</f>
        <v>2368.11247066297</v>
      </c>
      <c r="G2264" s="7" t="s">
        <v>83</v>
      </c>
      <c r="H2264" s="7" t="s">
        <v>848</v>
      </c>
      <c r="I2264" s="230">
        <f>取费表!$F$7</f>
        <v>0.07</v>
      </c>
      <c r="J2264" s="274"/>
      <c r="K2264" s="274">
        <f>L2263+L2236</f>
        <v>35576.1395930512</v>
      </c>
      <c r="L2264" s="34">
        <f>K2264*I2264</f>
        <v>2490.32977151359</v>
      </c>
    </row>
    <row r="2265" s="220" customFormat="1" ht="15" customHeight="1" spans="1:12">
      <c r="A2265" s="5" t="s">
        <v>121</v>
      </c>
      <c r="B2265" s="5" t="s">
        <v>861</v>
      </c>
      <c r="C2265" s="275"/>
      <c r="D2265" s="276"/>
      <c r="E2265" s="5"/>
      <c r="F2265" s="277">
        <f>F2266+F2271</f>
        <v>8095.89773778246</v>
      </c>
      <c r="G2265" s="5" t="s">
        <v>121</v>
      </c>
      <c r="H2265" s="5" t="s">
        <v>861</v>
      </c>
      <c r="I2265" s="275"/>
      <c r="J2265" s="276"/>
      <c r="K2265" s="5"/>
      <c r="L2265" s="277">
        <f>L2266+L2271</f>
        <v>12877.8747692927</v>
      </c>
    </row>
    <row r="2266" ht="15" customHeight="1" spans="1:12">
      <c r="A2266" s="7">
        <v>1</v>
      </c>
      <c r="B2266" s="7" t="s">
        <v>1011</v>
      </c>
      <c r="C2266" s="9"/>
      <c r="D2266" s="34"/>
      <c r="E2266" s="7"/>
      <c r="F2266" s="69">
        <f>SUM(F2267:F2270)</f>
        <v>8081.81993778246</v>
      </c>
      <c r="G2266" s="7">
        <v>1</v>
      </c>
      <c r="H2266" s="7" t="s">
        <v>1011</v>
      </c>
      <c r="I2266" s="9"/>
      <c r="J2266" s="34"/>
      <c r="K2266" s="7"/>
      <c r="L2266" s="69">
        <f>SUM(L2267:L2270)</f>
        <v>12863.7969692927</v>
      </c>
    </row>
    <row r="2267" ht="15" customHeight="1" spans="1:12">
      <c r="A2267" s="7"/>
      <c r="B2267" s="7"/>
      <c r="C2267" s="7"/>
      <c r="D2267" s="34"/>
      <c r="E2267" s="34"/>
      <c r="F2267" s="69"/>
      <c r="G2267" s="7"/>
      <c r="H2267" s="7"/>
      <c r="I2267" s="7"/>
      <c r="J2267" s="34"/>
      <c r="K2267" s="34"/>
      <c r="L2267" s="69"/>
    </row>
    <row r="2268" ht="15" customHeight="1" spans="1:12">
      <c r="A2268" s="7"/>
      <c r="B2268" s="7" t="s">
        <v>979</v>
      </c>
      <c r="C2268" s="7" t="s">
        <v>200</v>
      </c>
      <c r="D2268" s="34">
        <f>D2176</f>
        <v>141.58936</v>
      </c>
      <c r="E2268" s="34">
        <f>E2248*配合比!E6</f>
        <v>25.23059572</v>
      </c>
      <c r="F2268" s="69">
        <f>D2268*E2268</f>
        <v>3572.38390041354</v>
      </c>
      <c r="G2268" s="7"/>
      <c r="H2268" s="7" t="s">
        <v>979</v>
      </c>
      <c r="I2268" s="7" t="s">
        <v>200</v>
      </c>
      <c r="J2268" s="34">
        <f>材料预算价!K6-材料预算价!L6</f>
        <v>265.23946</v>
      </c>
      <c r="K2268" s="34">
        <f>E2314</f>
        <v>31.641291</v>
      </c>
      <c r="L2268" s="69">
        <f>J2268*K2268</f>
        <v>8392.51893854286</v>
      </c>
    </row>
    <row r="2269" ht="15" customHeight="1" spans="1:12">
      <c r="A2269" s="7"/>
      <c r="B2269" s="7" t="s">
        <v>961</v>
      </c>
      <c r="C2269" s="7" t="s">
        <v>169</v>
      </c>
      <c r="D2269" s="34">
        <f>D2177</f>
        <v>34.366056</v>
      </c>
      <c r="E2269" s="34">
        <f>E2248*配合比!G6</f>
        <v>57.73768</v>
      </c>
      <c r="F2269" s="69">
        <f>D2269*E2269</f>
        <v>1984.21634419008</v>
      </c>
      <c r="G2269" s="7"/>
      <c r="H2269" s="7" t="s">
        <v>961</v>
      </c>
      <c r="I2269" s="7" t="s">
        <v>169</v>
      </c>
      <c r="J2269" s="34">
        <f>D2269</f>
        <v>34.366056</v>
      </c>
      <c r="K2269" s="34">
        <f>E2315</f>
        <v>56.62734</v>
      </c>
      <c r="L2269" s="69">
        <f>J2269*K2269</f>
        <v>1946.05833757104</v>
      </c>
    </row>
    <row r="2270" ht="15" customHeight="1" spans="1:12">
      <c r="A2270" s="7"/>
      <c r="B2270" s="7" t="s">
        <v>1012</v>
      </c>
      <c r="C2270" s="7" t="s">
        <v>169</v>
      </c>
      <c r="D2270" s="34">
        <f>材料预算价!K8-材料预算价!L8</f>
        <v>29.13701</v>
      </c>
      <c r="E2270" s="34">
        <f>E2248*配合比!I6</f>
        <v>86.667084</v>
      </c>
      <c r="F2270" s="69">
        <f>D2270*E2270</f>
        <v>2525.21969317884</v>
      </c>
      <c r="G2270" s="7"/>
      <c r="H2270" s="7" t="s">
        <v>1012</v>
      </c>
      <c r="I2270" s="7" t="s">
        <v>169</v>
      </c>
      <c r="J2270" s="34">
        <f>D2270</f>
        <v>29.13701</v>
      </c>
      <c r="K2270" s="34">
        <f>E2316</f>
        <v>86.667084</v>
      </c>
      <c r="L2270" s="69">
        <f>J2270*K2270</f>
        <v>2525.21969317884</v>
      </c>
    </row>
    <row r="2271" ht="15" customHeight="1" spans="1:12">
      <c r="A2271" s="7">
        <v>2</v>
      </c>
      <c r="B2271" s="7" t="s">
        <v>1013</v>
      </c>
      <c r="C2271" s="7"/>
      <c r="D2271" s="34"/>
      <c r="E2271" s="38"/>
      <c r="F2271" s="69">
        <f>SUM(F2272:F2273)</f>
        <v>14.0778</v>
      </c>
      <c r="G2271" s="7">
        <v>2</v>
      </c>
      <c r="H2271" s="7" t="s">
        <v>1013</v>
      </c>
      <c r="I2271" s="7"/>
      <c r="J2271" s="34"/>
      <c r="K2271" s="38"/>
      <c r="L2271" s="69">
        <f>SUM(L2272:L2273)</f>
        <v>14.0778</v>
      </c>
    </row>
    <row r="2272" ht="15" customHeight="1" spans="1:12">
      <c r="A2272" s="7"/>
      <c r="B2272" s="7" t="s">
        <v>1014</v>
      </c>
      <c r="C2272" s="7" t="s">
        <v>863</v>
      </c>
      <c r="D2272" s="34">
        <f>D2180</f>
        <v>5.925</v>
      </c>
      <c r="E2272" s="38">
        <f>(E2255*7.2+E2253*0)</f>
        <v>2.376</v>
      </c>
      <c r="F2272" s="69">
        <f>D2272*E2272</f>
        <v>14.0778</v>
      </c>
      <c r="G2272" s="7"/>
      <c r="H2272" s="7" t="s">
        <v>1014</v>
      </c>
      <c r="I2272" s="7" t="s">
        <v>863</v>
      </c>
      <c r="J2272" s="34">
        <f>D2272</f>
        <v>5.925</v>
      </c>
      <c r="K2272" s="38">
        <f>(K2255*7.2+K2253*0)</f>
        <v>2.376</v>
      </c>
      <c r="L2272" s="69">
        <f>J2272*K2272</f>
        <v>14.0778</v>
      </c>
    </row>
    <row r="2273" ht="15" customHeight="1" spans="1:12">
      <c r="A2273" s="7"/>
      <c r="B2273" s="7" t="s">
        <v>862</v>
      </c>
      <c r="C2273" s="7" t="s">
        <v>863</v>
      </c>
      <c r="D2273" s="34">
        <f>D2181</f>
        <v>4.58</v>
      </c>
      <c r="E2273" s="38"/>
      <c r="F2273" s="69">
        <f>D2273*E2273</f>
        <v>0</v>
      </c>
      <c r="G2273" s="7"/>
      <c r="H2273" s="7" t="s">
        <v>862</v>
      </c>
      <c r="I2273" s="7" t="s">
        <v>863</v>
      </c>
      <c r="J2273" s="34">
        <f>D2273</f>
        <v>4.58</v>
      </c>
      <c r="K2273" s="38"/>
      <c r="L2273" s="69">
        <f>J2273*K2273</f>
        <v>0</v>
      </c>
    </row>
    <row r="2274" ht="15" customHeight="1" spans="1:12">
      <c r="A2274" s="7" t="s">
        <v>135</v>
      </c>
      <c r="B2274" s="7" t="s">
        <v>849</v>
      </c>
      <c r="C2274" s="231">
        <f>C2182</f>
        <v>0.09</v>
      </c>
      <c r="D2274" s="34"/>
      <c r="E2274" s="34">
        <f>F2265+F2264+F2263+F2236</f>
        <v>44294.1883607736</v>
      </c>
      <c r="F2274" s="34">
        <f>E2274*C2274</f>
        <v>3986.47695246962</v>
      </c>
      <c r="G2274" s="7" t="s">
        <v>135</v>
      </c>
      <c r="H2274" s="7" t="s">
        <v>849</v>
      </c>
      <c r="I2274" s="231">
        <f>C2274</f>
        <v>0.09</v>
      </c>
      <c r="J2274" s="34"/>
      <c r="K2274" s="34">
        <f>L2265+L2264+L2263+L2236</f>
        <v>50944.3441338576</v>
      </c>
      <c r="L2274" s="34">
        <f>K2274*I2274</f>
        <v>4584.99097204718</v>
      </c>
    </row>
    <row r="2275" ht="15" customHeight="1" spans="1:12">
      <c r="A2275" s="7"/>
      <c r="B2275" s="7" t="s">
        <v>850</v>
      </c>
      <c r="C2275" s="231"/>
      <c r="D2275" s="34"/>
      <c r="E2275" s="34"/>
      <c r="F2275" s="34">
        <f>(F2236+F2263+F2264+F2265+F2274)*取费表!H4</f>
        <v>1448.4199593973</v>
      </c>
      <c r="G2275" s="7"/>
      <c r="H2275" s="7" t="s">
        <v>850</v>
      </c>
      <c r="I2275" s="231"/>
      <c r="J2275" s="34"/>
      <c r="K2275" s="34"/>
      <c r="L2275" s="34">
        <f>(L2236+L2263+L2264+L2265+L2274)*取费表!H7</f>
        <v>1665.88005317714</v>
      </c>
    </row>
    <row r="2276" ht="15" customHeight="1" spans="1:12">
      <c r="A2276" s="7"/>
      <c r="B2276" s="7" t="s">
        <v>156</v>
      </c>
      <c r="C2276" s="7"/>
      <c r="D2276" s="34"/>
      <c r="E2276" s="34"/>
      <c r="F2276" s="34">
        <f>F2274+E2274+F2275</f>
        <v>49729.0852726405</v>
      </c>
      <c r="G2276" s="7"/>
      <c r="H2276" s="7" t="s">
        <v>156</v>
      </c>
      <c r="I2276" s="7"/>
      <c r="J2276" s="34"/>
      <c r="K2276" s="34"/>
      <c r="L2276" s="34">
        <f>L2274+K2274+L2275</f>
        <v>57195.2151590819</v>
      </c>
    </row>
    <row r="2277" ht="15" customHeight="1" spans="1:6">
      <c r="A2277" s="248" t="s">
        <v>881</v>
      </c>
      <c r="B2277" s="225"/>
      <c r="C2277" s="225"/>
      <c r="D2277" s="225"/>
      <c r="E2277" s="225"/>
      <c r="F2277" s="225"/>
    </row>
    <row r="2278" ht="15" customHeight="1" spans="1:6">
      <c r="A2278" s="278" t="s">
        <v>1081</v>
      </c>
      <c r="B2278" s="272"/>
      <c r="C2278" s="272"/>
      <c r="D2278" s="272"/>
      <c r="E2278" s="272"/>
      <c r="F2278" s="272"/>
    </row>
    <row r="2279" ht="15" customHeight="1" spans="1:6">
      <c r="A2279" s="227" t="s">
        <v>1078</v>
      </c>
      <c r="B2279" s="228"/>
      <c r="C2279" s="272"/>
      <c r="D2279" s="272"/>
      <c r="E2279" s="228" t="s">
        <v>832</v>
      </c>
      <c r="F2279" s="228"/>
    </row>
    <row r="2280" ht="15" customHeight="1" spans="1:6">
      <c r="A2280" s="146" t="s">
        <v>911</v>
      </c>
      <c r="B2280" s="233"/>
      <c r="C2280" s="233"/>
      <c r="D2280" s="233"/>
      <c r="E2280" s="233"/>
      <c r="F2280" s="147"/>
    </row>
    <row r="2281" ht="15" customHeight="1" spans="1:6">
      <c r="A2281" s="7" t="s">
        <v>104</v>
      </c>
      <c r="B2281" s="7" t="s">
        <v>835</v>
      </c>
      <c r="C2281" s="7" t="s">
        <v>159</v>
      </c>
      <c r="D2281" s="7" t="s">
        <v>422</v>
      </c>
      <c r="E2281" s="7" t="s">
        <v>160</v>
      </c>
      <c r="F2281" s="7" t="s">
        <v>18</v>
      </c>
    </row>
    <row r="2282" ht="15" customHeight="1" spans="1:6">
      <c r="A2282" s="7" t="s">
        <v>836</v>
      </c>
      <c r="B2282" s="7" t="s">
        <v>837</v>
      </c>
      <c r="C2282" s="7"/>
      <c r="D2282" s="7"/>
      <c r="E2282" s="7"/>
      <c r="F2282" s="34">
        <f>F2283+F2307+F2308</f>
        <v>33248.7285916367</v>
      </c>
    </row>
    <row r="2283" ht="15" customHeight="1" spans="1:6">
      <c r="A2283" s="7" t="s">
        <v>539</v>
      </c>
      <c r="B2283" s="7" t="s">
        <v>838</v>
      </c>
      <c r="C2283" s="7"/>
      <c r="D2283" s="7"/>
      <c r="E2283" s="7"/>
      <c r="F2283" s="34">
        <f>F2284+F2287+F2297+F2304</f>
        <v>31725.886060722</v>
      </c>
    </row>
    <row r="2284" ht="15" customHeight="1" spans="1:6">
      <c r="A2284" s="7">
        <v>1</v>
      </c>
      <c r="B2284" s="7" t="s">
        <v>839</v>
      </c>
      <c r="C2284" s="7" t="s">
        <v>840</v>
      </c>
      <c r="D2284" s="34"/>
      <c r="E2284" s="69">
        <f>SUM(E2285:E2286)</f>
        <v>1059.8</v>
      </c>
      <c r="F2284" s="69">
        <f>SUM(F2285:F2286)</f>
        <v>7794.277</v>
      </c>
    </row>
    <row r="2285" s="217" customFormat="1" ht="15" customHeight="1" spans="1:6">
      <c r="A2285" s="7"/>
      <c r="B2285" s="7" t="s">
        <v>841</v>
      </c>
      <c r="C2285" s="7" t="s">
        <v>840</v>
      </c>
      <c r="D2285" s="69">
        <f>D2239</f>
        <v>8.1</v>
      </c>
      <c r="E2285" s="42">
        <v>720.7</v>
      </c>
      <c r="F2285" s="69">
        <f>D2285*E2285</f>
        <v>5837.67</v>
      </c>
    </row>
    <row r="2286" s="217" customFormat="1" ht="15" customHeight="1" spans="1:6">
      <c r="A2286" s="7"/>
      <c r="B2286" s="7" t="s">
        <v>842</v>
      </c>
      <c r="C2286" s="7" t="s">
        <v>840</v>
      </c>
      <c r="D2286" s="69">
        <f>D2240</f>
        <v>5.77</v>
      </c>
      <c r="E2286" s="42">
        <v>339.1</v>
      </c>
      <c r="F2286" s="69">
        <f>D2286*E2286</f>
        <v>1956.607</v>
      </c>
    </row>
    <row r="2287" ht="15" customHeight="1" spans="1:6">
      <c r="A2287" s="7">
        <v>2</v>
      </c>
      <c r="B2287" s="7" t="s">
        <v>912</v>
      </c>
      <c r="C2287" s="7"/>
      <c r="D2287" s="34"/>
      <c r="E2287" s="34"/>
      <c r="F2287" s="34">
        <f>SUM(F2288:F2296)</f>
        <v>21204.77460021</v>
      </c>
    </row>
    <row r="2288" ht="15" customHeight="1" spans="1:6">
      <c r="A2288" s="7"/>
      <c r="B2288" s="273" t="s">
        <v>996</v>
      </c>
      <c r="C2288" s="273" t="s">
        <v>169</v>
      </c>
      <c r="D2288" s="34">
        <f t="shared" ref="D2288:D2293" si="158">D2242</f>
        <v>2238.008025</v>
      </c>
      <c r="E2288" s="34">
        <v>0.02</v>
      </c>
      <c r="F2288" s="34">
        <f t="shared" ref="F2288:F2295" si="159">D2288*E2288</f>
        <v>44.7601605</v>
      </c>
    </row>
    <row r="2289" ht="15" customHeight="1" spans="1:6">
      <c r="A2289" s="7"/>
      <c r="B2289" s="273" t="s">
        <v>1066</v>
      </c>
      <c r="C2289" s="273" t="s">
        <v>863</v>
      </c>
      <c r="D2289" s="34">
        <f t="shared" si="158"/>
        <v>4.44</v>
      </c>
      <c r="E2289" s="34">
        <v>76.36</v>
      </c>
      <c r="F2289" s="34">
        <f t="shared" si="159"/>
        <v>339.0384</v>
      </c>
    </row>
    <row r="2290" ht="15" customHeight="1" spans="1:6">
      <c r="A2290" s="7"/>
      <c r="B2290" s="273" t="s">
        <v>998</v>
      </c>
      <c r="C2290" s="273" t="s">
        <v>863</v>
      </c>
      <c r="D2290" s="34">
        <f t="shared" si="158"/>
        <v>4.5</v>
      </c>
      <c r="E2290" s="34">
        <v>54.71</v>
      </c>
      <c r="F2290" s="34">
        <f t="shared" si="159"/>
        <v>246.195</v>
      </c>
    </row>
    <row r="2291" ht="15" customHeight="1" spans="1:6">
      <c r="A2291" s="7"/>
      <c r="B2291" s="273" t="s">
        <v>999</v>
      </c>
      <c r="C2291" s="273" t="s">
        <v>863</v>
      </c>
      <c r="D2291" s="34">
        <f t="shared" si="158"/>
        <v>5.15</v>
      </c>
      <c r="E2291" s="34">
        <v>43.7</v>
      </c>
      <c r="F2291" s="34">
        <f t="shared" si="159"/>
        <v>225.055</v>
      </c>
    </row>
    <row r="2292" ht="15" customHeight="1" spans="1:6">
      <c r="A2292" s="7"/>
      <c r="B2292" s="273" t="s">
        <v>1001</v>
      </c>
      <c r="C2292" s="273" t="s">
        <v>863</v>
      </c>
      <c r="D2292" s="34">
        <f t="shared" si="158"/>
        <v>6.39</v>
      </c>
      <c r="E2292" s="34">
        <v>287.67</v>
      </c>
      <c r="F2292" s="34">
        <f t="shared" si="159"/>
        <v>1838.2113</v>
      </c>
    </row>
    <row r="2293" ht="15" customHeight="1" spans="1:6">
      <c r="A2293" s="7"/>
      <c r="B2293" s="273" t="s">
        <v>1002</v>
      </c>
      <c r="C2293" s="273" t="s">
        <v>863</v>
      </c>
      <c r="D2293" s="34">
        <f t="shared" si="158"/>
        <v>5.97</v>
      </c>
      <c r="E2293" s="34">
        <v>6.06</v>
      </c>
      <c r="F2293" s="34">
        <f t="shared" si="159"/>
        <v>36.1782</v>
      </c>
    </row>
    <row r="2294" ht="15" customHeight="1" spans="1:6">
      <c r="A2294" s="7"/>
      <c r="B2294" s="7" t="s">
        <v>1003</v>
      </c>
      <c r="C2294" s="7" t="s">
        <v>169</v>
      </c>
      <c r="D2294" s="34">
        <f>配合比!M8</f>
        <v>176.3536095</v>
      </c>
      <c r="E2294" s="34">
        <v>103</v>
      </c>
      <c r="F2294" s="34">
        <f t="shared" si="159"/>
        <v>18164.4217785</v>
      </c>
    </row>
    <row r="2295" ht="15" customHeight="1" spans="1:6">
      <c r="A2295" s="7"/>
      <c r="B2295" s="7" t="s">
        <v>913</v>
      </c>
      <c r="C2295" s="7" t="s">
        <v>169</v>
      </c>
      <c r="D2295" s="34">
        <f>材料预算价!K13</f>
        <v>3.59</v>
      </c>
      <c r="E2295" s="34">
        <v>70</v>
      </c>
      <c r="F2295" s="34">
        <f t="shared" si="159"/>
        <v>251.3</v>
      </c>
    </row>
    <row r="2296" ht="15" customHeight="1" spans="1:6">
      <c r="A2296" s="7"/>
      <c r="B2296" s="7" t="s">
        <v>1004</v>
      </c>
      <c r="C2296" s="9" t="s">
        <v>845</v>
      </c>
      <c r="D2296" s="34">
        <f>F2288+F2289+F2290+F2291+F2292+F2293+F2295</f>
        <v>2980.7380605</v>
      </c>
      <c r="E2296" s="34">
        <v>2</v>
      </c>
      <c r="F2296" s="34">
        <f>D2296*E2296/100</f>
        <v>59.61476121</v>
      </c>
    </row>
    <row r="2297" ht="15" customHeight="1" spans="1:6">
      <c r="A2297" s="7">
        <v>3</v>
      </c>
      <c r="B2297" s="7" t="s">
        <v>859</v>
      </c>
      <c r="C2297" s="7"/>
      <c r="D2297" s="34"/>
      <c r="E2297" s="34"/>
      <c r="F2297" s="34">
        <f>SUM(F2298:F2303)</f>
        <v>735.178269123853</v>
      </c>
    </row>
    <row r="2298" ht="15" customHeight="1" spans="1:6">
      <c r="A2298" s="7"/>
      <c r="B2298" s="7" t="s">
        <v>1009</v>
      </c>
      <c r="C2298" s="7" t="s">
        <v>428</v>
      </c>
      <c r="D2298" s="34">
        <f>D2252</f>
        <v>1.82152692461109</v>
      </c>
      <c r="E2298" s="34">
        <v>20</v>
      </c>
      <c r="F2298" s="34">
        <f>D2298*E2298</f>
        <v>36.4305384922218</v>
      </c>
    </row>
    <row r="2299" ht="15" customHeight="1" spans="1:6">
      <c r="A2299" s="7"/>
      <c r="B2299" s="279" t="s">
        <v>1079</v>
      </c>
      <c r="C2299" s="7" t="s">
        <v>428</v>
      </c>
      <c r="D2299" s="34">
        <f>D2253</f>
        <v>23.9179521340247</v>
      </c>
      <c r="E2299" s="34">
        <v>18.54</v>
      </c>
      <c r="F2299" s="34">
        <f>D2299*E2299</f>
        <v>443.438832564818</v>
      </c>
    </row>
    <row r="2300" ht="15" customHeight="1" spans="1:6">
      <c r="A2300" s="7"/>
      <c r="B2300" s="7" t="s">
        <v>967</v>
      </c>
      <c r="C2300" s="7" t="s">
        <v>428</v>
      </c>
      <c r="D2300" s="34">
        <f>D2254</f>
        <v>0.813242919824491</v>
      </c>
      <c r="E2300" s="251">
        <v>83</v>
      </c>
      <c r="F2300" s="34">
        <f>D2300*E2300</f>
        <v>67.4991623454328</v>
      </c>
    </row>
    <row r="2301" ht="15" customHeight="1" spans="1:6">
      <c r="A2301" s="7"/>
      <c r="B2301" s="7" t="s">
        <v>1005</v>
      </c>
      <c r="C2301" s="7" t="s">
        <v>428</v>
      </c>
      <c r="D2301" s="34">
        <f>D2255</f>
        <v>49.389824491424</v>
      </c>
      <c r="E2301" s="251">
        <v>0.33</v>
      </c>
      <c r="F2301" s="34">
        <f>D2301*E2301</f>
        <v>16.2986420821699</v>
      </c>
    </row>
    <row r="2302" ht="15" customHeight="1" spans="1:6">
      <c r="A2302" s="7"/>
      <c r="B2302" s="273" t="s">
        <v>1080</v>
      </c>
      <c r="C2302" s="7" t="s">
        <v>428</v>
      </c>
      <c r="D2302" s="34">
        <f>D2256</f>
        <v>8.3371858795373</v>
      </c>
      <c r="E2302" s="251">
        <v>9.07</v>
      </c>
      <c r="F2302" s="34">
        <f>D2302*E2302</f>
        <v>75.6182759274033</v>
      </c>
    </row>
    <row r="2303" ht="15" customHeight="1" spans="1:6">
      <c r="A2303" s="7"/>
      <c r="B2303" s="7" t="s">
        <v>918</v>
      </c>
      <c r="C2303" s="9" t="s">
        <v>845</v>
      </c>
      <c r="D2303" s="34">
        <f>SUM(F2298:F2302)</f>
        <v>639.285451412046</v>
      </c>
      <c r="E2303" s="34">
        <v>15</v>
      </c>
      <c r="F2303" s="34">
        <f>D2303*E2303/100</f>
        <v>95.8928177118069</v>
      </c>
    </row>
    <row r="2304" s="219" customFormat="1" ht="15" customHeight="1" spans="1:6">
      <c r="A2304" s="5">
        <v>4</v>
      </c>
      <c r="B2304" s="5" t="s">
        <v>1010</v>
      </c>
      <c r="C2304" s="275"/>
      <c r="D2304" s="276"/>
      <c r="E2304" s="276"/>
      <c r="F2304" s="276">
        <f>SUM(F2305:F2306)</f>
        <v>1991.65619138815</v>
      </c>
    </row>
    <row r="2305" s="216" customFormat="1" ht="15" customHeight="1" spans="1:6">
      <c r="A2305" s="7"/>
      <c r="B2305" s="123" t="s">
        <v>681</v>
      </c>
      <c r="C2305" s="123" t="s">
        <v>169</v>
      </c>
      <c r="D2305" s="274">
        <f>$F$2795/100</f>
        <v>5.03319379720782</v>
      </c>
      <c r="E2305" s="274">
        <v>103</v>
      </c>
      <c r="F2305" s="34">
        <f>D2305*E2305</f>
        <v>518.418961112405</v>
      </c>
    </row>
    <row r="2306" s="216" customFormat="1" ht="15" customHeight="1" spans="1:6">
      <c r="A2306" s="7"/>
      <c r="B2306" s="123" t="s">
        <v>682</v>
      </c>
      <c r="C2306" s="123" t="s">
        <v>169</v>
      </c>
      <c r="D2306" s="274">
        <f>$F$2813/100</f>
        <v>14.303274080347</v>
      </c>
      <c r="E2306" s="274">
        <v>103</v>
      </c>
      <c r="F2306" s="34">
        <f>D2306*E2306</f>
        <v>1473.23723027574</v>
      </c>
    </row>
    <row r="2307" s="216" customFormat="1" ht="15" customHeight="1" spans="1:6">
      <c r="A2307" s="7" t="s">
        <v>564</v>
      </c>
      <c r="B2307" s="7" t="s">
        <v>846</v>
      </c>
      <c r="C2307" s="230">
        <f>取费表!$C$7</f>
        <v>0.048</v>
      </c>
      <c r="D2307" s="274"/>
      <c r="E2307" s="274">
        <f>F2283</f>
        <v>31725.886060722</v>
      </c>
      <c r="F2307" s="34">
        <f>E2307*C2307</f>
        <v>1522.84253091466</v>
      </c>
    </row>
    <row r="2308" s="216" customFormat="1" ht="15" customHeight="1" spans="1:6">
      <c r="A2308" s="7"/>
      <c r="B2308" s="7"/>
      <c r="C2308" s="230"/>
      <c r="D2308" s="274"/>
      <c r="E2308" s="274"/>
      <c r="F2308" s="34"/>
    </row>
    <row r="2309" s="216" customFormat="1" ht="15" customHeight="1" spans="1:6">
      <c r="A2309" s="7" t="s">
        <v>439</v>
      </c>
      <c r="B2309" s="7" t="s">
        <v>847</v>
      </c>
      <c r="C2309" s="230">
        <f>取费表!$E$7</f>
        <v>0.07</v>
      </c>
      <c r="D2309" s="274"/>
      <c r="E2309" s="274">
        <f>F2282</f>
        <v>33248.7285916367</v>
      </c>
      <c r="F2309" s="34">
        <f>E2309*C2309</f>
        <v>2327.41100141457</v>
      </c>
    </row>
    <row r="2310" s="216" customFormat="1" ht="15" customHeight="1" spans="1:6">
      <c r="A2310" s="7" t="s">
        <v>83</v>
      </c>
      <c r="B2310" s="7" t="s">
        <v>848</v>
      </c>
      <c r="C2310" s="230">
        <f>取费表!$F$7</f>
        <v>0.07</v>
      </c>
      <c r="D2310" s="274"/>
      <c r="E2310" s="274">
        <f>F2309+F2282</f>
        <v>35576.1395930512</v>
      </c>
      <c r="F2310" s="34">
        <f>E2310*C2310</f>
        <v>2490.32977151359</v>
      </c>
    </row>
    <row r="2311" s="220" customFormat="1" ht="15" customHeight="1" spans="1:6">
      <c r="A2311" s="5" t="s">
        <v>121</v>
      </c>
      <c r="B2311" s="5" t="s">
        <v>861</v>
      </c>
      <c r="C2311" s="275"/>
      <c r="D2311" s="276"/>
      <c r="E2311" s="5"/>
      <c r="F2311" s="277">
        <f>F2312+F2317</f>
        <v>8965.42597301364</v>
      </c>
    </row>
    <row r="2312" ht="15" customHeight="1" spans="1:6">
      <c r="A2312" s="7">
        <v>1</v>
      </c>
      <c r="B2312" s="7" t="s">
        <v>1011</v>
      </c>
      <c r="C2312" s="9"/>
      <c r="D2312" s="34"/>
      <c r="E2312" s="7"/>
      <c r="F2312" s="69">
        <f>SUM(F2313:F2316)</f>
        <v>8951.34817301364</v>
      </c>
    </row>
    <row r="2313" ht="15" customHeight="1" spans="1:6">
      <c r="A2313" s="7"/>
      <c r="B2313" s="7"/>
      <c r="C2313" s="9"/>
      <c r="D2313" s="34"/>
      <c r="E2313" s="34"/>
      <c r="F2313" s="69"/>
    </row>
    <row r="2314" ht="15" customHeight="1" spans="1:6">
      <c r="A2314" s="7"/>
      <c r="B2314" s="7" t="s">
        <v>979</v>
      </c>
      <c r="C2314" s="7" t="s">
        <v>169</v>
      </c>
      <c r="D2314" s="34">
        <f>材料预算价!K5-材料预算价!L5</f>
        <v>141.58936</v>
      </c>
      <c r="E2314" s="34">
        <f>E2294*配合比!E8</f>
        <v>31.641291</v>
      </c>
      <c r="F2314" s="69">
        <f>D2314*E2314</f>
        <v>4480.07014226376</v>
      </c>
    </row>
    <row r="2315" ht="15" customHeight="1" spans="1:6">
      <c r="A2315" s="7"/>
      <c r="B2315" s="7" t="s">
        <v>961</v>
      </c>
      <c r="C2315" s="7" t="s">
        <v>169</v>
      </c>
      <c r="D2315" s="34">
        <f>D2269</f>
        <v>34.366056</v>
      </c>
      <c r="E2315" s="34">
        <f>E2294*配合比!G8</f>
        <v>56.62734</v>
      </c>
      <c r="F2315" s="69">
        <f>D2315*E2315</f>
        <v>1946.05833757104</v>
      </c>
    </row>
    <row r="2316" ht="15" customHeight="1" spans="1:6">
      <c r="A2316" s="7"/>
      <c r="B2316" s="7" t="s">
        <v>1012</v>
      </c>
      <c r="C2316" s="7" t="s">
        <v>169</v>
      </c>
      <c r="D2316" s="34">
        <f>材料预算价!K8-材料预算价!L8</f>
        <v>29.13701</v>
      </c>
      <c r="E2316" s="34">
        <f>E2294*配合比!I8</f>
        <v>86.667084</v>
      </c>
      <c r="F2316" s="69">
        <f>D2316*E2316</f>
        <v>2525.21969317884</v>
      </c>
    </row>
    <row r="2317" ht="15" customHeight="1" spans="1:6">
      <c r="A2317" s="7">
        <v>2</v>
      </c>
      <c r="B2317" s="7" t="s">
        <v>1013</v>
      </c>
      <c r="C2317" s="7"/>
      <c r="D2317" s="34"/>
      <c r="E2317" s="38"/>
      <c r="F2317" s="69">
        <f>SUM(F2318:F2319)</f>
        <v>14.0778</v>
      </c>
    </row>
    <row r="2318" ht="15" customHeight="1" spans="1:6">
      <c r="A2318" s="7"/>
      <c r="B2318" s="7" t="s">
        <v>1014</v>
      </c>
      <c r="C2318" s="7" t="s">
        <v>863</v>
      </c>
      <c r="D2318" s="34">
        <f>D2272</f>
        <v>5.925</v>
      </c>
      <c r="E2318" s="38">
        <f>(E2301*7.2+E2299*0)</f>
        <v>2.376</v>
      </c>
      <c r="F2318" s="69">
        <f>D2318*E2318</f>
        <v>14.0778</v>
      </c>
    </row>
    <row r="2319" ht="15" customHeight="1" spans="1:6">
      <c r="A2319" s="7"/>
      <c r="B2319" s="7" t="s">
        <v>862</v>
      </c>
      <c r="C2319" s="7" t="s">
        <v>863</v>
      </c>
      <c r="D2319" s="34">
        <f>D2273</f>
        <v>4.58</v>
      </c>
      <c r="E2319" s="38"/>
      <c r="F2319" s="69">
        <f>D2319*E2319</f>
        <v>0</v>
      </c>
    </row>
    <row r="2320" ht="15" customHeight="1" spans="1:6">
      <c r="A2320" s="7" t="s">
        <v>135</v>
      </c>
      <c r="B2320" s="7" t="s">
        <v>849</v>
      </c>
      <c r="C2320" s="231">
        <f>C2274</f>
        <v>0.09</v>
      </c>
      <c r="D2320" s="34"/>
      <c r="E2320" s="34">
        <f>F2311+F2310+F2309+F2282</f>
        <v>47031.8953375785</v>
      </c>
      <c r="F2320" s="34">
        <f>E2320*C2320</f>
        <v>4232.87058038206</v>
      </c>
    </row>
    <row r="2321" ht="15" customHeight="1" spans="1:6">
      <c r="A2321" s="7"/>
      <c r="B2321" s="7" t="s">
        <v>850</v>
      </c>
      <c r="C2321" s="231"/>
      <c r="D2321" s="34"/>
      <c r="E2321" s="34"/>
      <c r="F2321" s="34">
        <f>(F2282+F2309+F2310+F2311+F2320)*取费表!H4</f>
        <v>1537.94297753882</v>
      </c>
    </row>
    <row r="2322" ht="15" customHeight="1" spans="1:6">
      <c r="A2322" s="7"/>
      <c r="B2322" s="7" t="s">
        <v>156</v>
      </c>
      <c r="C2322" s="7"/>
      <c r="D2322" s="34"/>
      <c r="E2322" s="34"/>
      <c r="F2322" s="34">
        <f>F2320+E2320+F2321</f>
        <v>52802.7088954994</v>
      </c>
    </row>
    <row r="2323" ht="15" customHeight="1" spans="1:6">
      <c r="A2323" s="248" t="s">
        <v>881</v>
      </c>
      <c r="B2323" s="225"/>
      <c r="C2323" s="225"/>
      <c r="D2323" s="225"/>
      <c r="E2323" s="225"/>
      <c r="F2323" s="225"/>
    </row>
    <row r="2324" ht="15" customHeight="1" spans="1:6">
      <c r="A2324" s="278" t="s">
        <v>1082</v>
      </c>
      <c r="B2324" s="272"/>
      <c r="C2324" s="272"/>
      <c r="D2324" s="272"/>
      <c r="E2324" s="272"/>
      <c r="F2324" s="272"/>
    </row>
    <row r="2325" ht="15" customHeight="1" spans="1:6">
      <c r="A2325" s="227" t="s">
        <v>1078</v>
      </c>
      <c r="B2325" s="228"/>
      <c r="C2325" s="272"/>
      <c r="D2325" s="272"/>
      <c r="E2325" s="228" t="s">
        <v>832</v>
      </c>
      <c r="F2325" s="228"/>
    </row>
    <row r="2326" ht="15" customHeight="1" spans="1:6">
      <c r="A2326" s="146" t="s">
        <v>911</v>
      </c>
      <c r="B2326" s="233"/>
      <c r="C2326" s="233"/>
      <c r="D2326" s="233"/>
      <c r="E2326" s="233"/>
      <c r="F2326" s="147"/>
    </row>
    <row r="2327" ht="15" customHeight="1" spans="1:6">
      <c r="A2327" s="7" t="s">
        <v>104</v>
      </c>
      <c r="B2327" s="7" t="s">
        <v>835</v>
      </c>
      <c r="C2327" s="7" t="s">
        <v>159</v>
      </c>
      <c r="D2327" s="7" t="s">
        <v>422</v>
      </c>
      <c r="E2327" s="7" t="s">
        <v>160</v>
      </c>
      <c r="F2327" s="7" t="s">
        <v>18</v>
      </c>
    </row>
    <row r="2328" ht="15" customHeight="1" spans="1:6">
      <c r="A2328" s="7" t="s">
        <v>836</v>
      </c>
      <c r="B2328" s="7" t="s">
        <v>837</v>
      </c>
      <c r="C2328" s="7"/>
      <c r="D2328" s="7"/>
      <c r="E2328" s="7"/>
      <c r="F2328" s="34">
        <f>F2329+F2353+F2354</f>
        <v>33992.9571351567</v>
      </c>
    </row>
    <row r="2329" ht="15" customHeight="1" spans="1:6">
      <c r="A2329" s="7" t="s">
        <v>539</v>
      </c>
      <c r="B2329" s="7" t="s">
        <v>838</v>
      </c>
      <c r="C2329" s="7"/>
      <c r="D2329" s="7"/>
      <c r="E2329" s="7"/>
      <c r="F2329" s="34">
        <f>F2330+F2333+F2343+F2350</f>
        <v>32436.027800722</v>
      </c>
    </row>
    <row r="2330" ht="15" customHeight="1" spans="1:6">
      <c r="A2330" s="7">
        <v>1</v>
      </c>
      <c r="B2330" s="7" t="s">
        <v>839</v>
      </c>
      <c r="C2330" s="7" t="s">
        <v>840</v>
      </c>
      <c r="D2330" s="34"/>
      <c r="E2330" s="69">
        <f>SUM(E2331:E2332)</f>
        <v>1059.8</v>
      </c>
      <c r="F2330" s="69">
        <f>SUM(F2331:F2332)</f>
        <v>7794.277</v>
      </c>
    </row>
    <row r="2331" s="217" customFormat="1" ht="15" customHeight="1" spans="1:6">
      <c r="A2331" s="7"/>
      <c r="B2331" s="7" t="s">
        <v>841</v>
      </c>
      <c r="C2331" s="7" t="s">
        <v>840</v>
      </c>
      <c r="D2331" s="69">
        <f>D2285</f>
        <v>8.1</v>
      </c>
      <c r="E2331" s="42">
        <v>720.7</v>
      </c>
      <c r="F2331" s="69">
        <f>D2331*E2331</f>
        <v>5837.67</v>
      </c>
    </row>
    <row r="2332" s="217" customFormat="1" ht="15" customHeight="1" spans="1:6">
      <c r="A2332" s="7"/>
      <c r="B2332" s="7" t="s">
        <v>842</v>
      </c>
      <c r="C2332" s="7" t="s">
        <v>840</v>
      </c>
      <c r="D2332" s="69">
        <f>D2286</f>
        <v>5.77</v>
      </c>
      <c r="E2332" s="42">
        <v>339.1</v>
      </c>
      <c r="F2332" s="69">
        <f>D2332*E2332</f>
        <v>1956.607</v>
      </c>
    </row>
    <row r="2333" ht="15" customHeight="1" spans="1:6">
      <c r="A2333" s="7">
        <v>2</v>
      </c>
      <c r="B2333" s="7" t="s">
        <v>912</v>
      </c>
      <c r="C2333" s="7"/>
      <c r="D2333" s="34"/>
      <c r="E2333" s="34"/>
      <c r="F2333" s="34">
        <f>SUM(F2334:F2342)</f>
        <v>21914.91634021</v>
      </c>
    </row>
    <row r="2334" ht="15" customHeight="1" spans="1:6">
      <c r="A2334" s="7"/>
      <c r="B2334" s="273" t="s">
        <v>996</v>
      </c>
      <c r="C2334" s="273" t="s">
        <v>169</v>
      </c>
      <c r="D2334" s="34">
        <f t="shared" ref="D2334:D2339" si="160">D2288</f>
        <v>2238.008025</v>
      </c>
      <c r="E2334" s="34">
        <v>0.02</v>
      </c>
      <c r="F2334" s="34">
        <f t="shared" ref="F2334:F2341" si="161">D2334*E2334</f>
        <v>44.7601605</v>
      </c>
    </row>
    <row r="2335" ht="15" customHeight="1" spans="1:6">
      <c r="A2335" s="7"/>
      <c r="B2335" s="273" t="s">
        <v>1066</v>
      </c>
      <c r="C2335" s="273" t="s">
        <v>863</v>
      </c>
      <c r="D2335" s="34">
        <f t="shared" si="160"/>
        <v>4.44</v>
      </c>
      <c r="E2335" s="34">
        <v>76.36</v>
      </c>
      <c r="F2335" s="34">
        <f t="shared" si="161"/>
        <v>339.0384</v>
      </c>
    </row>
    <row r="2336" ht="15" customHeight="1" spans="1:6">
      <c r="A2336" s="7"/>
      <c r="B2336" s="273" t="s">
        <v>998</v>
      </c>
      <c r="C2336" s="273" t="s">
        <v>863</v>
      </c>
      <c r="D2336" s="34">
        <f t="shared" si="160"/>
        <v>4.5</v>
      </c>
      <c r="E2336" s="34">
        <v>54.71</v>
      </c>
      <c r="F2336" s="34">
        <f t="shared" si="161"/>
        <v>246.195</v>
      </c>
    </row>
    <row r="2337" ht="15" customHeight="1" spans="1:6">
      <c r="A2337" s="7"/>
      <c r="B2337" s="273" t="s">
        <v>999</v>
      </c>
      <c r="C2337" s="273" t="s">
        <v>863</v>
      </c>
      <c r="D2337" s="34">
        <f t="shared" si="160"/>
        <v>5.15</v>
      </c>
      <c r="E2337" s="34">
        <v>43.7</v>
      </c>
      <c r="F2337" s="34">
        <f t="shared" si="161"/>
        <v>225.055</v>
      </c>
    </row>
    <row r="2338" ht="15" customHeight="1" spans="1:6">
      <c r="A2338" s="7"/>
      <c r="B2338" s="273" t="s">
        <v>1001</v>
      </c>
      <c r="C2338" s="273" t="s">
        <v>863</v>
      </c>
      <c r="D2338" s="34">
        <f t="shared" si="160"/>
        <v>6.39</v>
      </c>
      <c r="E2338" s="34">
        <v>287.67</v>
      </c>
      <c r="F2338" s="34">
        <f t="shared" si="161"/>
        <v>1838.2113</v>
      </c>
    </row>
    <row r="2339" ht="15" customHeight="1" spans="1:6">
      <c r="A2339" s="7"/>
      <c r="B2339" s="273" t="s">
        <v>1002</v>
      </c>
      <c r="C2339" s="273" t="s">
        <v>863</v>
      </c>
      <c r="D2339" s="34">
        <f t="shared" si="160"/>
        <v>5.97</v>
      </c>
      <c r="E2339" s="34">
        <v>6.06</v>
      </c>
      <c r="F2339" s="34">
        <f t="shared" si="161"/>
        <v>36.1782</v>
      </c>
    </row>
    <row r="2340" ht="15" customHeight="1" spans="1:6">
      <c r="A2340" s="7"/>
      <c r="B2340" s="7" t="s">
        <v>1016</v>
      </c>
      <c r="C2340" s="7" t="s">
        <v>169</v>
      </c>
      <c r="D2340" s="34">
        <f>配合比!M10</f>
        <v>183.2481895</v>
      </c>
      <c r="E2340" s="34">
        <v>103</v>
      </c>
      <c r="F2340" s="34">
        <f t="shared" si="161"/>
        <v>18874.5635185</v>
      </c>
    </row>
    <row r="2341" ht="15" customHeight="1" spans="1:6">
      <c r="A2341" s="7"/>
      <c r="B2341" s="7" t="s">
        <v>913</v>
      </c>
      <c r="C2341" s="7" t="s">
        <v>169</v>
      </c>
      <c r="D2341" s="34">
        <f>材料预算价!K13</f>
        <v>3.59</v>
      </c>
      <c r="E2341" s="34">
        <v>70</v>
      </c>
      <c r="F2341" s="34">
        <f t="shared" si="161"/>
        <v>251.3</v>
      </c>
    </row>
    <row r="2342" ht="15" customHeight="1" spans="1:6">
      <c r="A2342" s="7"/>
      <c r="B2342" s="7" t="s">
        <v>1004</v>
      </c>
      <c r="C2342" s="9" t="s">
        <v>845</v>
      </c>
      <c r="D2342" s="34">
        <f>F2334+F2335+F2336+F2337+F2338+F2339+F2341</f>
        <v>2980.7380605</v>
      </c>
      <c r="E2342" s="34">
        <v>2</v>
      </c>
      <c r="F2342" s="34">
        <f>D2342*E2342/100</f>
        <v>59.61476121</v>
      </c>
    </row>
    <row r="2343" ht="15" customHeight="1" spans="1:6">
      <c r="A2343" s="7">
        <v>3</v>
      </c>
      <c r="B2343" s="7" t="s">
        <v>859</v>
      </c>
      <c r="C2343" s="7"/>
      <c r="D2343" s="34"/>
      <c r="E2343" s="34"/>
      <c r="F2343" s="34">
        <f>SUM(F2344:F2349)</f>
        <v>735.178269123853</v>
      </c>
    </row>
    <row r="2344" ht="15" customHeight="1" spans="1:6">
      <c r="A2344" s="7"/>
      <c r="B2344" s="7" t="s">
        <v>1009</v>
      </c>
      <c r="C2344" s="7" t="s">
        <v>428</v>
      </c>
      <c r="D2344" s="34">
        <f>D2298</f>
        <v>1.82152692461109</v>
      </c>
      <c r="E2344" s="34">
        <v>20</v>
      </c>
      <c r="F2344" s="34">
        <f>D2344*E2344</f>
        <v>36.4305384922218</v>
      </c>
    </row>
    <row r="2345" ht="15" customHeight="1" spans="1:6">
      <c r="A2345" s="7"/>
      <c r="B2345" s="279" t="s">
        <v>1079</v>
      </c>
      <c r="C2345" s="7" t="s">
        <v>428</v>
      </c>
      <c r="D2345" s="34">
        <f>D2299</f>
        <v>23.9179521340247</v>
      </c>
      <c r="E2345" s="34">
        <v>18.54</v>
      </c>
      <c r="F2345" s="34">
        <f>D2345*E2345</f>
        <v>443.438832564818</v>
      </c>
    </row>
    <row r="2346" ht="15" customHeight="1" spans="1:6">
      <c r="A2346" s="7"/>
      <c r="B2346" s="7" t="s">
        <v>967</v>
      </c>
      <c r="C2346" s="7" t="s">
        <v>428</v>
      </c>
      <c r="D2346" s="34">
        <f>D2300</f>
        <v>0.813242919824491</v>
      </c>
      <c r="E2346" s="251">
        <v>83</v>
      </c>
      <c r="F2346" s="34">
        <f>D2346*E2346</f>
        <v>67.4991623454328</v>
      </c>
    </row>
    <row r="2347" ht="15" customHeight="1" spans="1:6">
      <c r="A2347" s="7"/>
      <c r="B2347" s="7" t="s">
        <v>1005</v>
      </c>
      <c r="C2347" s="7" t="s">
        <v>428</v>
      </c>
      <c r="D2347" s="34">
        <f>D2301</f>
        <v>49.389824491424</v>
      </c>
      <c r="E2347" s="251">
        <v>0.33</v>
      </c>
      <c r="F2347" s="34">
        <f>D2347*E2347</f>
        <v>16.2986420821699</v>
      </c>
    </row>
    <row r="2348" ht="15" customHeight="1" spans="1:6">
      <c r="A2348" s="7"/>
      <c r="B2348" s="273" t="s">
        <v>1080</v>
      </c>
      <c r="C2348" s="7" t="s">
        <v>428</v>
      </c>
      <c r="D2348" s="34">
        <f>D2302</f>
        <v>8.3371858795373</v>
      </c>
      <c r="E2348" s="251">
        <v>9.07</v>
      </c>
      <c r="F2348" s="34">
        <f>D2348*E2348</f>
        <v>75.6182759274033</v>
      </c>
    </row>
    <row r="2349" ht="15" customHeight="1" spans="1:6">
      <c r="A2349" s="7"/>
      <c r="B2349" s="7" t="s">
        <v>918</v>
      </c>
      <c r="C2349" s="9" t="s">
        <v>845</v>
      </c>
      <c r="D2349" s="34">
        <f>SUM(F2344:F2348)</f>
        <v>639.285451412046</v>
      </c>
      <c r="E2349" s="34">
        <v>15</v>
      </c>
      <c r="F2349" s="34">
        <f>D2349*E2349/100</f>
        <v>95.8928177118069</v>
      </c>
    </row>
    <row r="2350" s="219" customFormat="1" ht="15" customHeight="1" spans="1:6">
      <c r="A2350" s="5">
        <v>4</v>
      </c>
      <c r="B2350" s="5" t="s">
        <v>1010</v>
      </c>
      <c r="C2350" s="275"/>
      <c r="D2350" s="276"/>
      <c r="E2350" s="276"/>
      <c r="F2350" s="276">
        <f>SUM(F2351:F2352)</f>
        <v>1991.65619138815</v>
      </c>
    </row>
    <row r="2351" s="216" customFormat="1" ht="15" customHeight="1" spans="1:6">
      <c r="A2351" s="7"/>
      <c r="B2351" s="123" t="s">
        <v>681</v>
      </c>
      <c r="C2351" s="123" t="s">
        <v>169</v>
      </c>
      <c r="D2351" s="274">
        <f>$F$2795/100</f>
        <v>5.03319379720782</v>
      </c>
      <c r="E2351" s="274">
        <v>103</v>
      </c>
      <c r="F2351" s="34">
        <f>D2351*E2351</f>
        <v>518.418961112405</v>
      </c>
    </row>
    <row r="2352" s="216" customFormat="1" ht="15" customHeight="1" spans="1:6">
      <c r="A2352" s="7"/>
      <c r="B2352" s="123" t="s">
        <v>682</v>
      </c>
      <c r="C2352" s="123" t="s">
        <v>169</v>
      </c>
      <c r="D2352" s="274">
        <f>$F$2813/100</f>
        <v>14.303274080347</v>
      </c>
      <c r="E2352" s="274">
        <v>103</v>
      </c>
      <c r="F2352" s="34">
        <f>D2352*E2352</f>
        <v>1473.23723027574</v>
      </c>
    </row>
    <row r="2353" s="216" customFormat="1" ht="15" customHeight="1" spans="1:6">
      <c r="A2353" s="7" t="s">
        <v>564</v>
      </c>
      <c r="B2353" s="7" t="s">
        <v>846</v>
      </c>
      <c r="C2353" s="230">
        <f>取费表!$C$7</f>
        <v>0.048</v>
      </c>
      <c r="D2353" s="274"/>
      <c r="E2353" s="274">
        <f>F2329</f>
        <v>32436.027800722</v>
      </c>
      <c r="F2353" s="34">
        <f>E2353*C2353</f>
        <v>1556.92933443466</v>
      </c>
    </row>
    <row r="2354" s="216" customFormat="1" ht="15" customHeight="1" spans="1:6">
      <c r="A2354" s="7"/>
      <c r="B2354" s="7"/>
      <c r="C2354" s="230"/>
      <c r="D2354" s="274"/>
      <c r="E2354" s="274"/>
      <c r="F2354" s="34"/>
    </row>
    <row r="2355" s="216" customFormat="1" ht="15" customHeight="1" spans="1:6">
      <c r="A2355" s="7" t="s">
        <v>439</v>
      </c>
      <c r="B2355" s="7" t="s">
        <v>847</v>
      </c>
      <c r="C2355" s="230">
        <f>取费表!$E$7</f>
        <v>0.07</v>
      </c>
      <c r="D2355" s="274"/>
      <c r="E2355" s="274">
        <f>F2328</f>
        <v>33992.9571351567</v>
      </c>
      <c r="F2355" s="34">
        <f>E2355*C2355</f>
        <v>2379.50699946097</v>
      </c>
    </row>
    <row r="2356" s="216" customFormat="1" ht="15" customHeight="1" spans="1:6">
      <c r="A2356" s="7" t="s">
        <v>83</v>
      </c>
      <c r="B2356" s="7" t="s">
        <v>848</v>
      </c>
      <c r="C2356" s="230">
        <f>取费表!$F$7</f>
        <v>0.07</v>
      </c>
      <c r="D2356" s="274"/>
      <c r="E2356" s="274">
        <f>F2355+F2328</f>
        <v>36372.4641346176</v>
      </c>
      <c r="F2356" s="34">
        <f>E2356*C2356</f>
        <v>2546.07248942323</v>
      </c>
    </row>
    <row r="2357" s="220" customFormat="1" ht="15" customHeight="1" spans="1:6">
      <c r="A2357" s="5" t="s">
        <v>121</v>
      </c>
      <c r="B2357" s="5" t="s">
        <v>861</v>
      </c>
      <c r="C2357" s="275"/>
      <c r="D2357" s="276"/>
      <c r="E2357" s="5"/>
      <c r="F2357" s="277">
        <f>F2358+F2363</f>
        <v>9369.73051143604</v>
      </c>
    </row>
    <row r="2358" ht="15" customHeight="1" spans="1:6">
      <c r="A2358" s="7">
        <v>1</v>
      </c>
      <c r="B2358" s="7" t="s">
        <v>1011</v>
      </c>
      <c r="C2358" s="9"/>
      <c r="D2358" s="34"/>
      <c r="E2358" s="7"/>
      <c r="F2358" s="69">
        <f>SUM(F2359:F2362)</f>
        <v>9355.65271143604</v>
      </c>
    </row>
    <row r="2359" ht="15" customHeight="1" spans="1:6">
      <c r="A2359" s="7"/>
      <c r="B2359" s="7"/>
      <c r="C2359" s="7"/>
      <c r="D2359" s="34"/>
      <c r="E2359" s="34"/>
      <c r="F2359" s="69"/>
    </row>
    <row r="2360" ht="15" customHeight="1" spans="1:6">
      <c r="A2360" s="7"/>
      <c r="B2360" s="7" t="s">
        <v>979</v>
      </c>
      <c r="C2360" s="7" t="s">
        <v>200</v>
      </c>
      <c r="D2360" s="34">
        <f>材料预算价!K5-材料预算价!L5</f>
        <v>141.58936</v>
      </c>
      <c r="E2360" s="34">
        <f>E2340*配合比!E10</f>
        <v>35.035759</v>
      </c>
      <c r="F2360" s="69">
        <f>D2360*E2360</f>
        <v>4960.69069392424</v>
      </c>
    </row>
    <row r="2361" ht="15" customHeight="1" spans="1:6">
      <c r="A2361" s="7"/>
      <c r="B2361" s="7" t="s">
        <v>961</v>
      </c>
      <c r="C2361" s="7" t="s">
        <v>169</v>
      </c>
      <c r="D2361" s="34">
        <f>D2315</f>
        <v>34.366056</v>
      </c>
      <c r="E2361" s="34">
        <f>E2340*配合比!G10</f>
        <v>54.40666</v>
      </c>
      <c r="F2361" s="69">
        <f>D2361*E2361</f>
        <v>1869.74232433296</v>
      </c>
    </row>
    <row r="2362" ht="15" customHeight="1" spans="1:6">
      <c r="A2362" s="7"/>
      <c r="B2362" s="7" t="s">
        <v>1012</v>
      </c>
      <c r="C2362" s="7" t="s">
        <v>169</v>
      </c>
      <c r="D2362" s="34">
        <f>材料预算价!K8-材料预算价!L8</f>
        <v>29.13701</v>
      </c>
      <c r="E2362" s="34">
        <f>E2340*配合比!I10</f>
        <v>86.667084</v>
      </c>
      <c r="F2362" s="69">
        <f>D2362*E2362</f>
        <v>2525.21969317884</v>
      </c>
    </row>
    <row r="2363" ht="15" customHeight="1" spans="1:6">
      <c r="A2363" s="7">
        <v>2</v>
      </c>
      <c r="B2363" s="7" t="s">
        <v>1013</v>
      </c>
      <c r="C2363" s="7"/>
      <c r="D2363" s="34"/>
      <c r="E2363" s="38"/>
      <c r="F2363" s="69">
        <f>SUM(F2364:F2365)</f>
        <v>14.0778</v>
      </c>
    </row>
    <row r="2364" ht="15" customHeight="1" spans="1:6">
      <c r="A2364" s="7"/>
      <c r="B2364" s="7" t="s">
        <v>1014</v>
      </c>
      <c r="C2364" s="7" t="s">
        <v>863</v>
      </c>
      <c r="D2364" s="34">
        <f>D2318</f>
        <v>5.925</v>
      </c>
      <c r="E2364" s="38">
        <f>(E2347*7.2+E2345*0)</f>
        <v>2.376</v>
      </c>
      <c r="F2364" s="69">
        <f>D2364*E2364</f>
        <v>14.0778</v>
      </c>
    </row>
    <row r="2365" ht="15" customHeight="1" spans="1:6">
      <c r="A2365" s="7"/>
      <c r="B2365" s="7" t="s">
        <v>862</v>
      </c>
      <c r="C2365" s="7" t="s">
        <v>863</v>
      </c>
      <c r="D2365" s="34">
        <f>D2319</f>
        <v>4.58</v>
      </c>
      <c r="E2365" s="38"/>
      <c r="F2365" s="69">
        <f>D2365*E2365</f>
        <v>0</v>
      </c>
    </row>
    <row r="2366" ht="15" customHeight="1" spans="1:6">
      <c r="A2366" s="7" t="s">
        <v>135</v>
      </c>
      <c r="B2366" s="7" t="s">
        <v>849</v>
      </c>
      <c r="C2366" s="231">
        <f>C2320</f>
        <v>0.09</v>
      </c>
      <c r="D2366" s="34"/>
      <c r="E2366" s="34">
        <f>F2357+F2356+F2355+F2328</f>
        <v>48288.2671354769</v>
      </c>
      <c r="F2366" s="34">
        <f>E2366*C2366</f>
        <v>4345.94404219292</v>
      </c>
    </row>
    <row r="2367" ht="15" customHeight="1" spans="1:6">
      <c r="A2367" s="7"/>
      <c r="B2367" s="7" t="s">
        <v>850</v>
      </c>
      <c r="C2367" s="231"/>
      <c r="D2367" s="34"/>
      <c r="E2367" s="34"/>
      <c r="F2367" s="34">
        <f>(F2328+F2355+F2356+F2357+F2366)*取费表!H4</f>
        <v>1579.0263353301</v>
      </c>
    </row>
    <row r="2368" ht="15" customHeight="1" spans="1:6">
      <c r="A2368" s="7"/>
      <c r="B2368" s="7" t="s">
        <v>156</v>
      </c>
      <c r="C2368" s="7"/>
      <c r="D2368" s="34"/>
      <c r="E2368" s="34"/>
      <c r="F2368" s="34">
        <f>F2366+E2366+F2367</f>
        <v>54213.237513</v>
      </c>
    </row>
    <row r="2369" ht="16.5" customHeight="1" spans="1:6">
      <c r="A2369" s="248" t="s">
        <v>881</v>
      </c>
      <c r="B2369" s="225"/>
      <c r="C2369" s="225"/>
      <c r="D2369" s="225"/>
      <c r="E2369" s="225"/>
      <c r="F2369" s="225"/>
    </row>
    <row r="2370" ht="16.5" customHeight="1" spans="1:6">
      <c r="A2370" s="278" t="s">
        <v>1083</v>
      </c>
      <c r="B2370" s="272"/>
      <c r="C2370" s="272"/>
      <c r="D2370" s="272"/>
      <c r="E2370" s="272"/>
      <c r="F2370" s="272"/>
    </row>
    <row r="2371" ht="16.5" customHeight="1" spans="1:6">
      <c r="A2371" s="227" t="s">
        <v>1084</v>
      </c>
      <c r="B2371" s="228"/>
      <c r="C2371" s="272"/>
      <c r="D2371" s="272"/>
      <c r="E2371" s="228" t="s">
        <v>832</v>
      </c>
      <c r="F2371" s="228"/>
    </row>
    <row r="2372" ht="16.5" customHeight="1" spans="1:6">
      <c r="A2372" s="146" t="s">
        <v>911</v>
      </c>
      <c r="B2372" s="233"/>
      <c r="C2372" s="233"/>
      <c r="D2372" s="233"/>
      <c r="E2372" s="233"/>
      <c r="F2372" s="147"/>
    </row>
    <row r="2373" ht="16.5" customHeight="1" spans="1:6">
      <c r="A2373" s="7" t="s">
        <v>104</v>
      </c>
      <c r="B2373" s="7" t="s">
        <v>835</v>
      </c>
      <c r="C2373" s="7" t="s">
        <v>159</v>
      </c>
      <c r="D2373" s="7" t="s">
        <v>422</v>
      </c>
      <c r="E2373" s="7" t="s">
        <v>160</v>
      </c>
      <c r="F2373" s="7" t="s">
        <v>18</v>
      </c>
    </row>
    <row r="2374" ht="16.5" customHeight="1" spans="1:6">
      <c r="A2374" s="7" t="s">
        <v>836</v>
      </c>
      <c r="B2374" s="7" t="s">
        <v>837</v>
      </c>
      <c r="C2374" s="7"/>
      <c r="D2374" s="7"/>
      <c r="E2374" s="7"/>
      <c r="F2374" s="34">
        <f>F2375+F2398+F2399</f>
        <v>35807.4862149151</v>
      </c>
    </row>
    <row r="2375" ht="16.5" customHeight="1" spans="1:6">
      <c r="A2375" s="7" t="s">
        <v>539</v>
      </c>
      <c r="B2375" s="7" t="s">
        <v>838</v>
      </c>
      <c r="C2375" s="7"/>
      <c r="D2375" s="7"/>
      <c r="E2375" s="7"/>
      <c r="F2375" s="34">
        <f>F2376+F2379+F2389+F2395</f>
        <v>34167.4486783541</v>
      </c>
    </row>
    <row r="2376" ht="16.5" customHeight="1" spans="1:6">
      <c r="A2376" s="7">
        <v>1</v>
      </c>
      <c r="B2376" s="7" t="s">
        <v>839</v>
      </c>
      <c r="C2376" s="7" t="s">
        <v>840</v>
      </c>
      <c r="D2376" s="34"/>
      <c r="E2376" s="69">
        <f>SUM(E2377:E2378)</f>
        <v>1280.3</v>
      </c>
      <c r="F2376" s="69">
        <f>SUM(F2377:F2378)</f>
        <v>9475.477</v>
      </c>
    </row>
    <row r="2377" ht="16.5" customHeight="1" spans="1:6">
      <c r="A2377" s="7"/>
      <c r="B2377" s="7" t="s">
        <v>841</v>
      </c>
      <c r="C2377" s="7" t="s">
        <v>840</v>
      </c>
      <c r="D2377" s="69">
        <f>D2331</f>
        <v>8.1</v>
      </c>
      <c r="E2377" s="42">
        <v>896.2</v>
      </c>
      <c r="F2377" s="69">
        <f>D2377*E2377</f>
        <v>7259.22</v>
      </c>
    </row>
    <row r="2378" ht="16.5" customHeight="1" spans="1:6">
      <c r="A2378" s="7"/>
      <c r="B2378" s="7" t="s">
        <v>842</v>
      </c>
      <c r="C2378" s="7" t="s">
        <v>840</v>
      </c>
      <c r="D2378" s="69">
        <f>D2332</f>
        <v>5.77</v>
      </c>
      <c r="E2378" s="42">
        <v>384.1</v>
      </c>
      <c r="F2378" s="69">
        <f>D2378*E2378</f>
        <v>2216.257</v>
      </c>
    </row>
    <row r="2379" ht="16.5" customHeight="1" spans="1:6">
      <c r="A2379" s="7">
        <v>2</v>
      </c>
      <c r="B2379" s="7" t="s">
        <v>912</v>
      </c>
      <c r="C2379" s="7"/>
      <c r="D2379" s="34"/>
      <c r="E2379" s="34"/>
      <c r="F2379" s="34">
        <f>SUM(F2380:F2388)</f>
        <v>22019.497928175</v>
      </c>
    </row>
    <row r="2380" ht="16.5" customHeight="1" spans="1:6">
      <c r="A2380" s="7"/>
      <c r="B2380" s="273" t="s">
        <v>996</v>
      </c>
      <c r="C2380" s="273" t="s">
        <v>169</v>
      </c>
      <c r="D2380" s="34">
        <f>D2334</f>
        <v>2238.008025</v>
      </c>
      <c r="E2380" s="34">
        <v>0.85</v>
      </c>
      <c r="F2380" s="34">
        <f t="shared" ref="F2380:F2387" si="162">D2380*E2380</f>
        <v>1902.30682125</v>
      </c>
    </row>
    <row r="2381" ht="16.5" customHeight="1" spans="1:6">
      <c r="A2381" s="7"/>
      <c r="B2381" s="273" t="s">
        <v>1066</v>
      </c>
      <c r="C2381" s="273" t="s">
        <v>863</v>
      </c>
      <c r="D2381" s="34">
        <f>基础材料表!D34</f>
        <v>4.44</v>
      </c>
      <c r="E2381" s="34">
        <v>29.33</v>
      </c>
      <c r="F2381" s="34">
        <f t="shared" si="162"/>
        <v>130.2252</v>
      </c>
    </row>
    <row r="2382" ht="16.5" customHeight="1" spans="1:6">
      <c r="A2382" s="7"/>
      <c r="B2382" s="273" t="s">
        <v>998</v>
      </c>
      <c r="C2382" s="273" t="s">
        <v>863</v>
      </c>
      <c r="D2382" s="34">
        <f>基础材料表!D30</f>
        <v>4.5</v>
      </c>
      <c r="E2382" s="34">
        <v>70.09</v>
      </c>
      <c r="F2382" s="34">
        <f t="shared" si="162"/>
        <v>315.405</v>
      </c>
    </row>
    <row r="2383" ht="16.5" customHeight="1" spans="1:6">
      <c r="A2383" s="7"/>
      <c r="B2383" s="273" t="s">
        <v>999</v>
      </c>
      <c r="C2383" s="273" t="s">
        <v>863</v>
      </c>
      <c r="D2383" s="34">
        <f>基础材料表!D16</f>
        <v>5.15</v>
      </c>
      <c r="E2383" s="34">
        <v>94.16</v>
      </c>
      <c r="F2383" s="34">
        <f t="shared" si="162"/>
        <v>484.924</v>
      </c>
    </row>
    <row r="2384" ht="16.5" customHeight="1" spans="1:6">
      <c r="A2384" s="7"/>
      <c r="B2384" s="273" t="s">
        <v>1000</v>
      </c>
      <c r="C2384" s="273" t="s">
        <v>863</v>
      </c>
      <c r="D2384" s="34">
        <f>基础材料表!D28</f>
        <v>4.5</v>
      </c>
      <c r="E2384" s="34">
        <v>111.55</v>
      </c>
      <c r="F2384" s="34">
        <f t="shared" si="162"/>
        <v>501.975</v>
      </c>
    </row>
    <row r="2385" ht="16.5" customHeight="1" spans="1:6">
      <c r="A2385" s="7"/>
      <c r="B2385" s="273" t="s">
        <v>1002</v>
      </c>
      <c r="C2385" s="273" t="s">
        <v>863</v>
      </c>
      <c r="D2385" s="34">
        <f>基础材料表!D5</f>
        <v>5.97</v>
      </c>
      <c r="E2385" s="34">
        <v>2.32</v>
      </c>
      <c r="F2385" s="34">
        <f t="shared" si="162"/>
        <v>13.8504</v>
      </c>
    </row>
    <row r="2386" ht="16.5" customHeight="1" spans="1:6">
      <c r="A2386" s="7"/>
      <c r="B2386" s="7" t="s">
        <v>1003</v>
      </c>
      <c r="C2386" s="7" t="s">
        <v>169</v>
      </c>
      <c r="D2386" s="34">
        <f>配合比!M8</f>
        <v>176.3536095</v>
      </c>
      <c r="E2386" s="34">
        <v>103</v>
      </c>
      <c r="F2386" s="34">
        <f t="shared" si="162"/>
        <v>18164.4217785</v>
      </c>
    </row>
    <row r="2387" ht="16.5" customHeight="1" spans="1:6">
      <c r="A2387" s="7"/>
      <c r="B2387" s="7" t="s">
        <v>913</v>
      </c>
      <c r="C2387" s="7" t="s">
        <v>169</v>
      </c>
      <c r="D2387" s="34">
        <f t="shared" ref="D2387:D2392" si="163">D2341</f>
        <v>3.59</v>
      </c>
      <c r="E2387" s="34">
        <v>120</v>
      </c>
      <c r="F2387" s="34">
        <f t="shared" si="162"/>
        <v>430.8</v>
      </c>
    </row>
    <row r="2388" ht="16.5" customHeight="1" spans="1:6">
      <c r="A2388" s="7"/>
      <c r="B2388" s="7" t="s">
        <v>1004</v>
      </c>
      <c r="C2388" s="9" t="s">
        <v>845</v>
      </c>
      <c r="D2388" s="34">
        <f>F2380+F2381+F2382+F2383+F2384+F2385+F2387</f>
        <v>3779.48642125</v>
      </c>
      <c r="E2388" s="34">
        <v>2</v>
      </c>
      <c r="F2388" s="34">
        <f>D2388*E2388/100</f>
        <v>75.589728425</v>
      </c>
    </row>
    <row r="2389" ht="16.5" customHeight="1" spans="1:6">
      <c r="A2389" s="7">
        <v>3</v>
      </c>
      <c r="B2389" s="7" t="s">
        <v>859</v>
      </c>
      <c r="C2389" s="7"/>
      <c r="D2389" s="34"/>
      <c r="E2389" s="34"/>
      <c r="F2389" s="34">
        <f>SUM(F2390:F2394)</f>
        <v>680.817558790985</v>
      </c>
    </row>
    <row r="2390" ht="16.5" customHeight="1" spans="1:6">
      <c r="A2390" s="7"/>
      <c r="B2390" s="7" t="s">
        <v>1009</v>
      </c>
      <c r="C2390" s="7" t="s">
        <v>428</v>
      </c>
      <c r="D2390" s="34">
        <f t="shared" si="163"/>
        <v>1.82152692461109</v>
      </c>
      <c r="E2390" s="34">
        <v>44.5</v>
      </c>
      <c r="F2390" s="34">
        <f>D2390*E2390</f>
        <v>81.0579481451935</v>
      </c>
    </row>
    <row r="2391" ht="16.5" customHeight="1" spans="1:6">
      <c r="A2391" s="7"/>
      <c r="B2391" s="279" t="s">
        <v>1079</v>
      </c>
      <c r="C2391" s="7" t="s">
        <v>428</v>
      </c>
      <c r="D2391" s="34">
        <f t="shared" si="163"/>
        <v>23.9179521340247</v>
      </c>
      <c r="E2391" s="34">
        <v>18.54</v>
      </c>
      <c r="F2391" s="34">
        <f>D2391*E2391</f>
        <v>443.438832564818</v>
      </c>
    </row>
    <row r="2392" ht="16.5" customHeight="1" spans="1:6">
      <c r="A2392" s="7"/>
      <c r="B2392" s="7" t="s">
        <v>967</v>
      </c>
      <c r="C2392" s="7" t="s">
        <v>428</v>
      </c>
      <c r="D2392" s="34">
        <f t="shared" si="163"/>
        <v>0.813242919824491</v>
      </c>
      <c r="E2392" s="251">
        <v>83</v>
      </c>
      <c r="F2392" s="34">
        <f>D2392*E2392</f>
        <v>67.4991623454328</v>
      </c>
    </row>
    <row r="2393" ht="16.5" customHeight="1" spans="1:6">
      <c r="A2393" s="7"/>
      <c r="B2393" s="273" t="s">
        <v>1080</v>
      </c>
      <c r="C2393" s="7" t="s">
        <v>428</v>
      </c>
      <c r="D2393" s="34">
        <f>D2348</f>
        <v>8.3371858795373</v>
      </c>
      <c r="E2393" s="251">
        <v>3.23</v>
      </c>
      <c r="F2393" s="34">
        <f>D2393*E2393</f>
        <v>26.9291103909055</v>
      </c>
    </row>
    <row r="2394" ht="16.5" customHeight="1" spans="1:6">
      <c r="A2394" s="7"/>
      <c r="B2394" s="7" t="s">
        <v>918</v>
      </c>
      <c r="C2394" s="9" t="s">
        <v>845</v>
      </c>
      <c r="D2394" s="34">
        <f>SUM(F2390:F2393)</f>
        <v>618.92505344635</v>
      </c>
      <c r="E2394" s="34">
        <v>10</v>
      </c>
      <c r="F2394" s="34">
        <f>D2394*E2394/100</f>
        <v>61.892505344635</v>
      </c>
    </row>
    <row r="2395" ht="16.5" customHeight="1" spans="1:6">
      <c r="A2395" s="5">
        <v>4</v>
      </c>
      <c r="B2395" s="5" t="s">
        <v>1010</v>
      </c>
      <c r="C2395" s="275"/>
      <c r="D2395" s="276"/>
      <c r="E2395" s="276"/>
      <c r="F2395" s="276">
        <f>SUM(F2396:F2397)</f>
        <v>1991.65619138815</v>
      </c>
    </row>
    <row r="2396" ht="16.5" customHeight="1" spans="1:6">
      <c r="A2396" s="7"/>
      <c r="B2396" s="123" t="s">
        <v>681</v>
      </c>
      <c r="C2396" s="123" t="s">
        <v>169</v>
      </c>
      <c r="D2396" s="274">
        <f>$F$2795/100</f>
        <v>5.03319379720782</v>
      </c>
      <c r="E2396" s="274">
        <v>103</v>
      </c>
      <c r="F2396" s="34">
        <f>D2396*E2396</f>
        <v>518.418961112405</v>
      </c>
    </row>
    <row r="2397" ht="16.5" customHeight="1" spans="1:6">
      <c r="A2397" s="7"/>
      <c r="B2397" s="123" t="s">
        <v>682</v>
      </c>
      <c r="C2397" s="123" t="s">
        <v>169</v>
      </c>
      <c r="D2397" s="274">
        <f>$F$2813/100</f>
        <v>14.303274080347</v>
      </c>
      <c r="E2397" s="274">
        <v>103</v>
      </c>
      <c r="F2397" s="34">
        <f>D2397*E2397</f>
        <v>1473.23723027574</v>
      </c>
    </row>
    <row r="2398" ht="16.5" customHeight="1" spans="1:6">
      <c r="A2398" s="7" t="s">
        <v>564</v>
      </c>
      <c r="B2398" s="7" t="s">
        <v>846</v>
      </c>
      <c r="C2398" s="230">
        <f>取费表!$C$7</f>
        <v>0.048</v>
      </c>
      <c r="D2398" s="274"/>
      <c r="E2398" s="274">
        <f>F2375</f>
        <v>34167.4486783541</v>
      </c>
      <c r="F2398" s="34">
        <f>E2398*C2398</f>
        <v>1640.037536561</v>
      </c>
    </row>
    <row r="2399" ht="16.5" customHeight="1" spans="1:6">
      <c r="A2399" s="7"/>
      <c r="B2399" s="7"/>
      <c r="C2399" s="230"/>
      <c r="D2399" s="274"/>
      <c r="E2399" s="274"/>
      <c r="F2399" s="34"/>
    </row>
    <row r="2400" ht="16.5" customHeight="1" spans="1:6">
      <c r="A2400" s="7" t="s">
        <v>439</v>
      </c>
      <c r="B2400" s="7" t="s">
        <v>847</v>
      </c>
      <c r="C2400" s="230">
        <f>取费表!$E$7</f>
        <v>0.07</v>
      </c>
      <c r="D2400" s="274"/>
      <c r="E2400" s="274">
        <f>F2374</f>
        <v>35807.4862149151</v>
      </c>
      <c r="F2400" s="34">
        <f>E2400*C2400</f>
        <v>2506.52403504406</v>
      </c>
    </row>
    <row r="2401" ht="16.5" customHeight="1" spans="1:6">
      <c r="A2401" s="7" t="s">
        <v>83</v>
      </c>
      <c r="B2401" s="7" t="s">
        <v>848</v>
      </c>
      <c r="C2401" s="230">
        <f>取费表!$F$7</f>
        <v>0.07</v>
      </c>
      <c r="D2401" s="274"/>
      <c r="E2401" s="274">
        <f>F2400+F2374</f>
        <v>38314.0102499592</v>
      </c>
      <c r="F2401" s="34">
        <f>E2401*C2401</f>
        <v>2681.98071749714</v>
      </c>
    </row>
    <row r="2402" ht="16.5" customHeight="1" spans="1:6">
      <c r="A2402" s="5" t="s">
        <v>121</v>
      </c>
      <c r="B2402" s="5" t="s">
        <v>861</v>
      </c>
      <c r="C2402" s="275"/>
      <c r="D2402" s="276"/>
      <c r="E2402" s="5"/>
      <c r="F2402" s="277">
        <f>F2403</f>
        <v>8951.34817301364</v>
      </c>
    </row>
    <row r="2403" ht="16.5" customHeight="1" spans="1:6">
      <c r="A2403" s="7">
        <v>1</v>
      </c>
      <c r="B2403" s="7" t="s">
        <v>1011</v>
      </c>
      <c r="C2403" s="9"/>
      <c r="D2403" s="34"/>
      <c r="E2403" s="7"/>
      <c r="F2403" s="69">
        <f>SUM(F2404:F2407)</f>
        <v>8951.34817301364</v>
      </c>
    </row>
    <row r="2404" ht="16.5" customHeight="1" spans="1:6">
      <c r="A2404" s="7"/>
      <c r="B2404" s="7"/>
      <c r="C2404" s="7"/>
      <c r="D2404" s="34"/>
      <c r="E2404" s="34"/>
      <c r="F2404" s="69"/>
    </row>
    <row r="2405" ht="16.5" customHeight="1" spans="1:6">
      <c r="A2405" s="7"/>
      <c r="B2405" s="7" t="s">
        <v>979</v>
      </c>
      <c r="C2405" s="7" t="s">
        <v>200</v>
      </c>
      <c r="D2405" s="34">
        <f>D2360</f>
        <v>141.58936</v>
      </c>
      <c r="E2405" s="34">
        <f>E2386*配合比!E8</f>
        <v>31.641291</v>
      </c>
      <c r="F2405" s="69">
        <f>D2405*E2405</f>
        <v>4480.07014226376</v>
      </c>
    </row>
    <row r="2406" ht="16.5" customHeight="1" spans="1:6">
      <c r="A2406" s="7"/>
      <c r="B2406" s="7" t="s">
        <v>961</v>
      </c>
      <c r="C2406" s="7" t="s">
        <v>169</v>
      </c>
      <c r="D2406" s="34">
        <f>D2361</f>
        <v>34.366056</v>
      </c>
      <c r="E2406" s="34">
        <f>E2386*配合比!G8</f>
        <v>56.62734</v>
      </c>
      <c r="F2406" s="69">
        <f>D2406*E2406</f>
        <v>1946.05833757104</v>
      </c>
    </row>
    <row r="2407" ht="16.5" customHeight="1" spans="1:6">
      <c r="A2407" s="7"/>
      <c r="B2407" s="7" t="s">
        <v>1012</v>
      </c>
      <c r="C2407" s="7" t="s">
        <v>169</v>
      </c>
      <c r="D2407" s="34">
        <f>D2362</f>
        <v>29.13701</v>
      </c>
      <c r="E2407" s="34">
        <f>E2386*配合比!I8</f>
        <v>86.667084</v>
      </c>
      <c r="F2407" s="69">
        <f>D2407*E2407</f>
        <v>2525.21969317884</v>
      </c>
    </row>
    <row r="2408" ht="16.5" customHeight="1" spans="1:6">
      <c r="A2408" s="7" t="s">
        <v>135</v>
      </c>
      <c r="B2408" s="7" t="s">
        <v>849</v>
      </c>
      <c r="C2408" s="231">
        <f>C2366</f>
        <v>0.09</v>
      </c>
      <c r="D2408" s="34"/>
      <c r="E2408" s="34">
        <f>F2402+F2401+F2400+F2374</f>
        <v>49947.33914047</v>
      </c>
      <c r="F2408" s="34">
        <f>E2408*C2408</f>
        <v>4495.2605226423</v>
      </c>
    </row>
    <row r="2409" ht="16.5" customHeight="1" spans="1:6">
      <c r="A2409" s="7"/>
      <c r="B2409" s="7" t="s">
        <v>850</v>
      </c>
      <c r="C2409" s="231"/>
      <c r="D2409" s="34"/>
      <c r="E2409" s="34"/>
      <c r="F2409" s="34">
        <f>(F2374+F2400+F2401+F2402+F2408)*取费表!H4</f>
        <v>1633.27798989337</v>
      </c>
    </row>
    <row r="2410" ht="16.5" customHeight="1" spans="1:6">
      <c r="A2410" s="7"/>
      <c r="B2410" s="7" t="s">
        <v>156</v>
      </c>
      <c r="C2410" s="7"/>
      <c r="D2410" s="34"/>
      <c r="E2410" s="34"/>
      <c r="F2410" s="34">
        <f>F2408+E2408+F2409</f>
        <v>56075.8776530056</v>
      </c>
    </row>
    <row r="2411" ht="15.6" customHeight="1" spans="1:12">
      <c r="A2411" s="248" t="s">
        <v>881</v>
      </c>
      <c r="B2411" s="225"/>
      <c r="C2411" s="225"/>
      <c r="D2411" s="225"/>
      <c r="E2411" s="225"/>
      <c r="F2411" s="225"/>
      <c r="G2411" s="248" t="s">
        <v>881</v>
      </c>
      <c r="H2411" s="225"/>
      <c r="I2411" s="225"/>
      <c r="J2411" s="225"/>
      <c r="K2411" s="225"/>
      <c r="L2411" s="225"/>
    </row>
    <row r="2412" ht="15.6" customHeight="1" spans="1:12">
      <c r="A2412" s="278" t="s">
        <v>1085</v>
      </c>
      <c r="B2412" s="272"/>
      <c r="C2412" s="272"/>
      <c r="D2412" s="272"/>
      <c r="E2412" s="272"/>
      <c r="F2412" s="272"/>
      <c r="G2412" s="278" t="s">
        <v>1086</v>
      </c>
      <c r="H2412" s="272"/>
      <c r="I2412" s="272"/>
      <c r="J2412" s="272"/>
      <c r="K2412" s="272"/>
      <c r="L2412" s="272"/>
    </row>
    <row r="2413" ht="15.6" customHeight="1" spans="1:12">
      <c r="A2413" s="227" t="s">
        <v>1087</v>
      </c>
      <c r="B2413" s="228"/>
      <c r="C2413" s="272"/>
      <c r="D2413" s="272"/>
      <c r="E2413" s="228" t="s">
        <v>832</v>
      </c>
      <c r="F2413" s="228"/>
      <c r="G2413" s="227" t="s">
        <v>1087</v>
      </c>
      <c r="H2413" s="228"/>
      <c r="I2413" s="272"/>
      <c r="J2413" s="272"/>
      <c r="K2413" s="228" t="s">
        <v>832</v>
      </c>
      <c r="L2413" s="228"/>
    </row>
    <row r="2414" ht="15.6" customHeight="1" spans="1:12">
      <c r="A2414" s="146" t="s">
        <v>911</v>
      </c>
      <c r="B2414" s="233"/>
      <c r="C2414" s="233"/>
      <c r="D2414" s="233"/>
      <c r="E2414" s="233"/>
      <c r="F2414" s="147"/>
      <c r="G2414" s="146" t="s">
        <v>911</v>
      </c>
      <c r="H2414" s="233"/>
      <c r="I2414" s="233"/>
      <c r="J2414" s="233"/>
      <c r="K2414" s="233"/>
      <c r="L2414" s="147"/>
    </row>
    <row r="2415" ht="15.6" customHeight="1" spans="1:12">
      <c r="A2415" s="7" t="s">
        <v>104</v>
      </c>
      <c r="B2415" s="7" t="s">
        <v>835</v>
      </c>
      <c r="C2415" s="7" t="s">
        <v>159</v>
      </c>
      <c r="D2415" s="7" t="s">
        <v>422</v>
      </c>
      <c r="E2415" s="7" t="s">
        <v>160</v>
      </c>
      <c r="F2415" s="7" t="s">
        <v>18</v>
      </c>
      <c r="G2415" s="7" t="s">
        <v>104</v>
      </c>
      <c r="H2415" s="7" t="s">
        <v>835</v>
      </c>
      <c r="I2415" s="7" t="s">
        <v>159</v>
      </c>
      <c r="J2415" s="7" t="s">
        <v>422</v>
      </c>
      <c r="K2415" s="7" t="s">
        <v>160</v>
      </c>
      <c r="L2415" s="7" t="s">
        <v>18</v>
      </c>
    </row>
    <row r="2416" ht="15.6" customHeight="1" spans="1:12">
      <c r="A2416" s="7" t="s">
        <v>836</v>
      </c>
      <c r="B2416" s="7" t="s">
        <v>837</v>
      </c>
      <c r="C2416" s="7"/>
      <c r="D2416" s="7"/>
      <c r="E2416" s="7"/>
      <c r="F2416" s="34">
        <f>F2417+F2442+F2443</f>
        <v>31332.4504433268</v>
      </c>
      <c r="G2416" s="7" t="s">
        <v>836</v>
      </c>
      <c r="H2416" s="7" t="s">
        <v>837</v>
      </c>
      <c r="I2416" s="7"/>
      <c r="J2416" s="7"/>
      <c r="K2416" s="7"/>
      <c r="L2416" s="34">
        <f>L2417+L2442+L2443</f>
        <v>31893.5273148484</v>
      </c>
    </row>
    <row r="2417" ht="15.6" customHeight="1" spans="1:12">
      <c r="A2417" s="7" t="s">
        <v>539</v>
      </c>
      <c r="B2417" s="7" t="s">
        <v>838</v>
      </c>
      <c r="C2417" s="7"/>
      <c r="D2417" s="7"/>
      <c r="E2417" s="7"/>
      <c r="F2417" s="34">
        <f>F2418+F2421+F2431+F2439</f>
        <v>29897.3763772203</v>
      </c>
      <c r="G2417" s="7" t="s">
        <v>539</v>
      </c>
      <c r="H2417" s="7" t="s">
        <v>838</v>
      </c>
      <c r="I2417" s="7"/>
      <c r="J2417" s="7"/>
      <c r="K2417" s="7"/>
      <c r="L2417" s="34">
        <f>L2418+L2421+L2431+L2439</f>
        <v>30432.7550714203</v>
      </c>
    </row>
    <row r="2418" ht="15.6" customHeight="1" spans="1:12">
      <c r="A2418" s="7">
        <v>1</v>
      </c>
      <c r="B2418" s="7" t="s">
        <v>839</v>
      </c>
      <c r="C2418" s="7" t="s">
        <v>840</v>
      </c>
      <c r="D2418" s="34"/>
      <c r="E2418" s="69">
        <f>SUM(E2419:E2420)</f>
        <v>1103.2</v>
      </c>
      <c r="F2418" s="69">
        <f>SUM(F2419:F2420)</f>
        <v>7521.843</v>
      </c>
      <c r="G2418" s="7">
        <v>1</v>
      </c>
      <c r="H2418" s="7" t="s">
        <v>839</v>
      </c>
      <c r="I2418" s="7" t="s">
        <v>840</v>
      </c>
      <c r="J2418" s="34"/>
      <c r="K2418" s="69">
        <f>SUM(K2419:K2420)</f>
        <v>1103.2</v>
      </c>
      <c r="L2418" s="69">
        <f>SUM(L2419:L2420)</f>
        <v>7521.843</v>
      </c>
    </row>
    <row r="2419" ht="15.6" customHeight="1" spans="1:12">
      <c r="A2419" s="7"/>
      <c r="B2419" s="7" t="s">
        <v>841</v>
      </c>
      <c r="C2419" s="7" t="s">
        <v>840</v>
      </c>
      <c r="D2419" s="69">
        <f>D2377</f>
        <v>8.1</v>
      </c>
      <c r="E2419" s="42">
        <v>496.3</v>
      </c>
      <c r="F2419" s="69">
        <f>D2419*E2419</f>
        <v>4020.03</v>
      </c>
      <c r="G2419" s="7"/>
      <c r="H2419" s="7" t="s">
        <v>841</v>
      </c>
      <c r="I2419" s="7" t="s">
        <v>840</v>
      </c>
      <c r="J2419" s="69">
        <f>D2419</f>
        <v>8.1</v>
      </c>
      <c r="K2419" s="42">
        <v>496.3</v>
      </c>
      <c r="L2419" s="69">
        <f t="shared" ref="L2419:L2429" si="164">J2419*K2419</f>
        <v>4020.03</v>
      </c>
    </row>
    <row r="2420" ht="15.6" customHeight="1" spans="1:12">
      <c r="A2420" s="7"/>
      <c r="B2420" s="7" t="s">
        <v>842</v>
      </c>
      <c r="C2420" s="7" t="s">
        <v>840</v>
      </c>
      <c r="D2420" s="69">
        <f>D2378</f>
        <v>5.77</v>
      </c>
      <c r="E2420" s="42">
        <v>606.9</v>
      </c>
      <c r="F2420" s="69">
        <f>D2420*E2420</f>
        <v>3501.813</v>
      </c>
      <c r="G2420" s="7"/>
      <c r="H2420" s="7" t="s">
        <v>842</v>
      </c>
      <c r="I2420" s="7" t="s">
        <v>840</v>
      </c>
      <c r="J2420" s="69">
        <f>D2420</f>
        <v>5.77</v>
      </c>
      <c r="K2420" s="42">
        <v>606.9</v>
      </c>
      <c r="L2420" s="69">
        <f t="shared" si="164"/>
        <v>3501.813</v>
      </c>
    </row>
    <row r="2421" ht="15.6" customHeight="1" spans="1:12">
      <c r="A2421" s="7">
        <v>2</v>
      </c>
      <c r="B2421" s="7" t="s">
        <v>912</v>
      </c>
      <c r="C2421" s="7"/>
      <c r="D2421" s="34"/>
      <c r="E2421" s="34"/>
      <c r="F2421" s="34">
        <f>SUM(F2422:F2430)</f>
        <v>19704.1292293</v>
      </c>
      <c r="G2421" s="7">
        <v>2</v>
      </c>
      <c r="H2421" s="7" t="s">
        <v>912</v>
      </c>
      <c r="I2421" s="7"/>
      <c r="J2421" s="34"/>
      <c r="K2421" s="34"/>
      <c r="L2421" s="34">
        <f>SUM(L2422:L2430)</f>
        <v>20239.5079235</v>
      </c>
    </row>
    <row r="2422" ht="15.6" customHeight="1" spans="1:12">
      <c r="A2422" s="7"/>
      <c r="B2422" s="273" t="s">
        <v>996</v>
      </c>
      <c r="C2422" s="273" t="s">
        <v>169</v>
      </c>
      <c r="D2422" s="34">
        <f>D2380</f>
        <v>2238.008025</v>
      </c>
      <c r="E2422" s="34"/>
      <c r="F2422" s="34">
        <f t="shared" ref="F2422:F2429" si="165">D2422*E2422</f>
        <v>0</v>
      </c>
      <c r="G2422" s="7"/>
      <c r="H2422" s="273" t="s">
        <v>996</v>
      </c>
      <c r="I2422" s="273" t="s">
        <v>169</v>
      </c>
      <c r="J2422" s="34">
        <f>D2422</f>
        <v>2238.008025</v>
      </c>
      <c r="K2422" s="34"/>
      <c r="L2422" s="34">
        <f t="shared" si="164"/>
        <v>0</v>
      </c>
    </row>
    <row r="2423" ht="15.6" customHeight="1" spans="1:12">
      <c r="A2423" s="7"/>
      <c r="B2423" s="273" t="s">
        <v>1066</v>
      </c>
      <c r="C2423" s="273" t="s">
        <v>863</v>
      </c>
      <c r="D2423" s="34">
        <f>基础材料表!D34</f>
        <v>4.44</v>
      </c>
      <c r="E2423" s="34"/>
      <c r="F2423" s="34">
        <f t="shared" si="165"/>
        <v>0</v>
      </c>
      <c r="G2423" s="7"/>
      <c r="H2423" s="273" t="s">
        <v>1066</v>
      </c>
      <c r="I2423" s="273" t="s">
        <v>863</v>
      </c>
      <c r="J2423" s="34">
        <f>D2423</f>
        <v>4.44</v>
      </c>
      <c r="K2423" s="34"/>
      <c r="L2423" s="34">
        <f t="shared" si="164"/>
        <v>0</v>
      </c>
    </row>
    <row r="2424" ht="15.6" customHeight="1" spans="1:12">
      <c r="A2424" s="7"/>
      <c r="B2424" s="273" t="s">
        <v>998</v>
      </c>
      <c r="C2424" s="273" t="s">
        <v>863</v>
      </c>
      <c r="D2424" s="34">
        <f>基础材料表!D30</f>
        <v>4.5</v>
      </c>
      <c r="E2424" s="34">
        <v>50</v>
      </c>
      <c r="F2424" s="34">
        <f t="shared" si="165"/>
        <v>225</v>
      </c>
      <c r="G2424" s="7"/>
      <c r="H2424" s="273" t="s">
        <v>998</v>
      </c>
      <c r="I2424" s="273" t="s">
        <v>863</v>
      </c>
      <c r="J2424" s="34">
        <f>基础材料表!J30</f>
        <v>4.5</v>
      </c>
      <c r="K2424" s="34">
        <v>50</v>
      </c>
      <c r="L2424" s="34">
        <f t="shared" si="164"/>
        <v>225</v>
      </c>
    </row>
    <row r="2425" ht="15.6" customHeight="1" spans="1:12">
      <c r="A2425" s="7"/>
      <c r="B2425" s="273" t="s">
        <v>999</v>
      </c>
      <c r="C2425" s="273" t="s">
        <v>863</v>
      </c>
      <c r="D2425" s="34">
        <f>基础材料表!D16</f>
        <v>5.15</v>
      </c>
      <c r="E2425" s="34"/>
      <c r="F2425" s="34">
        <f t="shared" si="165"/>
        <v>0</v>
      </c>
      <c r="G2425" s="7"/>
      <c r="H2425" s="273" t="s">
        <v>999</v>
      </c>
      <c r="I2425" s="273" t="s">
        <v>863</v>
      </c>
      <c r="J2425" s="34">
        <f>基础材料表!J16</f>
        <v>5.15</v>
      </c>
      <c r="K2425" s="34"/>
      <c r="L2425" s="34">
        <f t="shared" si="164"/>
        <v>0</v>
      </c>
    </row>
    <row r="2426" ht="15.6" customHeight="1" spans="1:12">
      <c r="A2426" s="7"/>
      <c r="B2426" s="273" t="s">
        <v>1000</v>
      </c>
      <c r="C2426" s="273" t="s">
        <v>863</v>
      </c>
      <c r="D2426" s="34">
        <f>基础材料表!D28</f>
        <v>4.5</v>
      </c>
      <c r="E2426" s="34"/>
      <c r="F2426" s="34">
        <f t="shared" si="165"/>
        <v>0</v>
      </c>
      <c r="G2426" s="7"/>
      <c r="H2426" s="273" t="s">
        <v>1000</v>
      </c>
      <c r="I2426" s="273" t="s">
        <v>863</v>
      </c>
      <c r="J2426" s="34">
        <f>基础材料表!J28</f>
        <v>4.5</v>
      </c>
      <c r="K2426" s="34"/>
      <c r="L2426" s="34">
        <f t="shared" si="164"/>
        <v>0</v>
      </c>
    </row>
    <row r="2427" ht="15.6" customHeight="1" spans="1:12">
      <c r="A2427" s="7"/>
      <c r="B2427" s="273" t="s">
        <v>1002</v>
      </c>
      <c r="C2427" s="273" t="s">
        <v>863</v>
      </c>
      <c r="D2427" s="34">
        <f>基础材料表!D5</f>
        <v>5.97</v>
      </c>
      <c r="E2427" s="34"/>
      <c r="F2427" s="34">
        <f t="shared" si="165"/>
        <v>0</v>
      </c>
      <c r="G2427" s="7"/>
      <c r="H2427" s="273" t="s">
        <v>1002</v>
      </c>
      <c r="I2427" s="273" t="s">
        <v>863</v>
      </c>
      <c r="J2427" s="34">
        <f>基础材料表!J5</f>
        <v>5.97</v>
      </c>
      <c r="K2427" s="34"/>
      <c r="L2427" s="34">
        <f t="shared" si="164"/>
        <v>0</v>
      </c>
    </row>
    <row r="2428" ht="15.6" customHeight="1" spans="1:12">
      <c r="A2428" s="7"/>
      <c r="B2428" s="7" t="s">
        <v>1003</v>
      </c>
      <c r="C2428" s="7" t="s">
        <v>169</v>
      </c>
      <c r="D2428" s="34">
        <f>配合比!M9</f>
        <v>182.8439731</v>
      </c>
      <c r="E2428" s="34">
        <v>103</v>
      </c>
      <c r="F2428" s="34">
        <f t="shared" si="165"/>
        <v>18832.9292293</v>
      </c>
      <c r="G2428" s="7"/>
      <c r="H2428" s="7" t="s">
        <v>1025</v>
      </c>
      <c r="I2428" s="7" t="s">
        <v>169</v>
      </c>
      <c r="J2428" s="34">
        <f>配合比!M11</f>
        <v>188.0418245</v>
      </c>
      <c r="K2428" s="34">
        <v>103</v>
      </c>
      <c r="L2428" s="34">
        <f t="shared" si="164"/>
        <v>19368.3079235</v>
      </c>
    </row>
    <row r="2429" ht="15.6" customHeight="1" spans="1:12">
      <c r="A2429" s="7"/>
      <c r="B2429" s="7" t="s">
        <v>913</v>
      </c>
      <c r="C2429" s="7" t="s">
        <v>169</v>
      </c>
      <c r="D2429" s="34">
        <f t="shared" ref="D2429:D2435" si="166">D2387</f>
        <v>3.59</v>
      </c>
      <c r="E2429" s="34">
        <v>180</v>
      </c>
      <c r="F2429" s="34">
        <f t="shared" si="165"/>
        <v>646.2</v>
      </c>
      <c r="G2429" s="7"/>
      <c r="H2429" s="7" t="s">
        <v>913</v>
      </c>
      <c r="I2429" s="7" t="s">
        <v>169</v>
      </c>
      <c r="J2429" s="34">
        <f>D2429</f>
        <v>3.59</v>
      </c>
      <c r="K2429" s="34">
        <v>180</v>
      </c>
      <c r="L2429" s="34">
        <f t="shared" si="164"/>
        <v>646.2</v>
      </c>
    </row>
    <row r="2430" ht="15.6" customHeight="1" spans="1:12">
      <c r="A2430" s="7"/>
      <c r="B2430" s="7" t="s">
        <v>1004</v>
      </c>
      <c r="C2430" s="9" t="s">
        <v>845</v>
      </c>
      <c r="D2430" s="34">
        <f>SUM(F2422:F2429)</f>
        <v>19704.1292293</v>
      </c>
      <c r="E2430" s="34"/>
      <c r="F2430" s="34">
        <f>D2430*E2430/100</f>
        <v>0</v>
      </c>
      <c r="G2430" s="7"/>
      <c r="H2430" s="7" t="s">
        <v>1004</v>
      </c>
      <c r="I2430" s="9" t="s">
        <v>845</v>
      </c>
      <c r="J2430" s="34">
        <f>SUM(L2422:L2429)</f>
        <v>20239.5079235</v>
      </c>
      <c r="K2430" s="34"/>
      <c r="L2430" s="34">
        <f>J2430*K2430/100</f>
        <v>0</v>
      </c>
    </row>
    <row r="2431" ht="15.6" customHeight="1" spans="1:12">
      <c r="A2431" s="7">
        <v>3</v>
      </c>
      <c r="B2431" s="7" t="s">
        <v>859</v>
      </c>
      <c r="C2431" s="7"/>
      <c r="D2431" s="34"/>
      <c r="E2431" s="34"/>
      <c r="F2431" s="34">
        <f>SUM(F2432:F2438)</f>
        <v>679.74795653211</v>
      </c>
      <c r="G2431" s="7">
        <v>3</v>
      </c>
      <c r="H2431" s="7" t="s">
        <v>859</v>
      </c>
      <c r="I2431" s="7"/>
      <c r="J2431" s="34"/>
      <c r="K2431" s="34"/>
      <c r="L2431" s="34">
        <f>SUM(L2432:L2438)</f>
        <v>679.74795653211</v>
      </c>
    </row>
    <row r="2432" ht="15.6" customHeight="1" spans="1:12">
      <c r="A2432" s="7"/>
      <c r="B2432" s="7" t="s">
        <v>1009</v>
      </c>
      <c r="C2432" s="7" t="s">
        <v>428</v>
      </c>
      <c r="D2432" s="34">
        <f t="shared" si="166"/>
        <v>1.82152692461109</v>
      </c>
      <c r="E2432" s="34">
        <v>44</v>
      </c>
      <c r="F2432" s="34">
        <f t="shared" ref="F2432:F2437" si="167">D2432*E2432</f>
        <v>80.1471846828879</v>
      </c>
      <c r="G2432" s="7"/>
      <c r="H2432" s="7" t="s">
        <v>1009</v>
      </c>
      <c r="I2432" s="7" t="s">
        <v>428</v>
      </c>
      <c r="J2432" s="34">
        <f t="shared" ref="J2432:J2437" si="168">D2432</f>
        <v>1.82152692461109</v>
      </c>
      <c r="K2432" s="34">
        <v>44</v>
      </c>
      <c r="L2432" s="34">
        <f t="shared" ref="L2432:L2437" si="169">J2432*K2432</f>
        <v>80.1471846828879</v>
      </c>
    </row>
    <row r="2433" ht="15.6" customHeight="1" spans="1:12">
      <c r="A2433" s="7"/>
      <c r="B2433" s="279" t="s">
        <v>1079</v>
      </c>
      <c r="C2433" s="7" t="s">
        <v>428</v>
      </c>
      <c r="D2433" s="34">
        <f t="shared" si="166"/>
        <v>23.9179521340247</v>
      </c>
      <c r="E2433" s="34">
        <v>18.54</v>
      </c>
      <c r="F2433" s="34">
        <f t="shared" si="167"/>
        <v>443.438832564818</v>
      </c>
      <c r="G2433" s="7"/>
      <c r="H2433" s="279" t="s">
        <v>1079</v>
      </c>
      <c r="I2433" s="7" t="s">
        <v>428</v>
      </c>
      <c r="J2433" s="34">
        <f t="shared" si="168"/>
        <v>23.9179521340247</v>
      </c>
      <c r="K2433" s="34">
        <v>18.54</v>
      </c>
      <c r="L2433" s="34">
        <f t="shared" si="169"/>
        <v>443.438832564818</v>
      </c>
    </row>
    <row r="2434" ht="15.6" customHeight="1" spans="1:12">
      <c r="A2434" s="7"/>
      <c r="B2434" s="7" t="s">
        <v>967</v>
      </c>
      <c r="C2434" s="7" t="s">
        <v>428</v>
      </c>
      <c r="D2434" s="34">
        <f t="shared" si="166"/>
        <v>0.813242919824491</v>
      </c>
      <c r="E2434" s="251">
        <v>83</v>
      </c>
      <c r="F2434" s="34">
        <f t="shared" si="167"/>
        <v>67.4991623454328</v>
      </c>
      <c r="G2434" s="7"/>
      <c r="H2434" s="7" t="s">
        <v>967</v>
      </c>
      <c r="I2434" s="7" t="s">
        <v>428</v>
      </c>
      <c r="J2434" s="34">
        <f t="shared" si="168"/>
        <v>0.813242919824491</v>
      </c>
      <c r="K2434" s="251">
        <v>83</v>
      </c>
      <c r="L2434" s="34">
        <f t="shared" si="169"/>
        <v>67.4991623454328</v>
      </c>
    </row>
    <row r="2435" ht="15.6" customHeight="1" spans="1:12">
      <c r="A2435" s="7"/>
      <c r="B2435" s="273" t="s">
        <v>1080</v>
      </c>
      <c r="C2435" s="7" t="s">
        <v>428</v>
      </c>
      <c r="D2435" s="34">
        <f t="shared" si="166"/>
        <v>8.3371858795373</v>
      </c>
      <c r="E2435" s="251"/>
      <c r="F2435" s="34">
        <f t="shared" si="167"/>
        <v>0</v>
      </c>
      <c r="G2435" s="7"/>
      <c r="H2435" s="273" t="s">
        <v>1080</v>
      </c>
      <c r="I2435" s="7" t="s">
        <v>428</v>
      </c>
      <c r="J2435" s="34">
        <f t="shared" si="168"/>
        <v>8.3371858795373</v>
      </c>
      <c r="K2435" s="251"/>
      <c r="L2435" s="34">
        <f t="shared" si="169"/>
        <v>0</v>
      </c>
    </row>
    <row r="2436" ht="15.6" customHeight="1" spans="1:12">
      <c r="A2436" s="7"/>
      <c r="B2436" s="7" t="s">
        <v>1005</v>
      </c>
      <c r="C2436" s="7" t="s">
        <v>428</v>
      </c>
      <c r="D2436" s="34">
        <f>D2524</f>
        <v>49.389824491424</v>
      </c>
      <c r="E2436" s="251"/>
      <c r="F2436" s="34">
        <f t="shared" si="167"/>
        <v>0</v>
      </c>
      <c r="G2436" s="7"/>
      <c r="H2436" s="7" t="s">
        <v>1005</v>
      </c>
      <c r="I2436" s="7" t="s">
        <v>428</v>
      </c>
      <c r="J2436" s="34">
        <f t="shared" si="168"/>
        <v>49.389824491424</v>
      </c>
      <c r="K2436" s="251"/>
      <c r="L2436" s="34">
        <f t="shared" si="169"/>
        <v>0</v>
      </c>
    </row>
    <row r="2437" ht="15.6" customHeight="1" spans="1:12">
      <c r="A2437" s="7"/>
      <c r="B2437" s="273" t="s">
        <v>1088</v>
      </c>
      <c r="C2437" s="7" t="s">
        <v>428</v>
      </c>
      <c r="D2437" s="34">
        <f>D2525</f>
        <v>62.3342780215397</v>
      </c>
      <c r="E2437" s="251"/>
      <c r="F2437" s="34">
        <f t="shared" si="167"/>
        <v>0</v>
      </c>
      <c r="G2437" s="7"/>
      <c r="H2437" s="273" t="s">
        <v>1088</v>
      </c>
      <c r="I2437" s="7" t="s">
        <v>428</v>
      </c>
      <c r="J2437" s="34">
        <f t="shared" si="168"/>
        <v>62.3342780215397</v>
      </c>
      <c r="K2437" s="251"/>
      <c r="L2437" s="34">
        <f t="shared" si="169"/>
        <v>0</v>
      </c>
    </row>
    <row r="2438" ht="15.6" customHeight="1" spans="1:12">
      <c r="A2438" s="7"/>
      <c r="B2438" s="7" t="s">
        <v>918</v>
      </c>
      <c r="C2438" s="9" t="s">
        <v>845</v>
      </c>
      <c r="D2438" s="34">
        <f>SUM(F2432:F2437)</f>
        <v>591.085179593139</v>
      </c>
      <c r="E2438" s="34">
        <v>15</v>
      </c>
      <c r="F2438" s="34">
        <f>D2438*E2438/100</f>
        <v>88.6627769389709</v>
      </c>
      <c r="G2438" s="7"/>
      <c r="H2438" s="7" t="s">
        <v>918</v>
      </c>
      <c r="I2438" s="9" t="s">
        <v>845</v>
      </c>
      <c r="J2438" s="34">
        <f>SUM(L2432:L2437)</f>
        <v>591.085179593139</v>
      </c>
      <c r="K2438" s="34">
        <v>15</v>
      </c>
      <c r="L2438" s="34">
        <f>J2438*K2438/100</f>
        <v>88.6627769389709</v>
      </c>
    </row>
    <row r="2439" ht="15.6" customHeight="1" spans="1:12">
      <c r="A2439" s="5">
        <v>4</v>
      </c>
      <c r="B2439" s="5" t="s">
        <v>1010</v>
      </c>
      <c r="C2439" s="275"/>
      <c r="D2439" s="276"/>
      <c r="E2439" s="276"/>
      <c r="F2439" s="276">
        <f>SUM(F2440:F2441)</f>
        <v>1991.65619138815</v>
      </c>
      <c r="G2439" s="5">
        <v>4</v>
      </c>
      <c r="H2439" s="5" t="s">
        <v>1010</v>
      </c>
      <c r="I2439" s="275"/>
      <c r="J2439" s="276"/>
      <c r="K2439" s="276"/>
      <c r="L2439" s="276">
        <f>SUM(L2440:L2441)</f>
        <v>1991.65619138815</v>
      </c>
    </row>
    <row r="2440" ht="15.6" customHeight="1" spans="1:12">
      <c r="A2440" s="7"/>
      <c r="B2440" s="123" t="s">
        <v>681</v>
      </c>
      <c r="C2440" s="123" t="s">
        <v>169</v>
      </c>
      <c r="D2440" s="274">
        <f>$F$2795/100</f>
        <v>5.03319379720782</v>
      </c>
      <c r="E2440" s="274">
        <v>103</v>
      </c>
      <c r="F2440" s="34">
        <f>D2440*E2440</f>
        <v>518.418961112405</v>
      </c>
      <c r="G2440" s="7"/>
      <c r="H2440" s="123" t="s">
        <v>681</v>
      </c>
      <c r="I2440" s="123" t="s">
        <v>169</v>
      </c>
      <c r="J2440" s="274">
        <f>$F$2795/100</f>
        <v>5.03319379720782</v>
      </c>
      <c r="K2440" s="274">
        <v>103</v>
      </c>
      <c r="L2440" s="34">
        <f>J2440*K2440</f>
        <v>518.418961112405</v>
      </c>
    </row>
    <row r="2441" ht="15.6" customHeight="1" spans="1:12">
      <c r="A2441" s="7"/>
      <c r="B2441" s="123" t="s">
        <v>682</v>
      </c>
      <c r="C2441" s="123" t="s">
        <v>169</v>
      </c>
      <c r="D2441" s="274">
        <f>$F$2813/100</f>
        <v>14.303274080347</v>
      </c>
      <c r="E2441" s="274">
        <v>103</v>
      </c>
      <c r="F2441" s="34">
        <f>D2441*E2441</f>
        <v>1473.23723027574</v>
      </c>
      <c r="G2441" s="7"/>
      <c r="H2441" s="123" t="s">
        <v>682</v>
      </c>
      <c r="I2441" s="123" t="s">
        <v>169</v>
      </c>
      <c r="J2441" s="274">
        <f>$F$2813/100</f>
        <v>14.303274080347</v>
      </c>
      <c r="K2441" s="274">
        <v>103</v>
      </c>
      <c r="L2441" s="34">
        <f>J2441*K2441</f>
        <v>1473.23723027574</v>
      </c>
    </row>
    <row r="2442" ht="15.6" customHeight="1" spans="1:12">
      <c r="A2442" s="7" t="s">
        <v>564</v>
      </c>
      <c r="B2442" s="7" t="s">
        <v>846</v>
      </c>
      <c r="C2442" s="230">
        <f>取费表!$C$7</f>
        <v>0.048</v>
      </c>
      <c r="D2442" s="274"/>
      <c r="E2442" s="274">
        <f>F2417</f>
        <v>29897.3763772203</v>
      </c>
      <c r="F2442" s="34">
        <f>E2442*C2442</f>
        <v>1435.07406610657</v>
      </c>
      <c r="G2442" s="7" t="s">
        <v>564</v>
      </c>
      <c r="H2442" s="7" t="s">
        <v>846</v>
      </c>
      <c r="I2442" s="230">
        <f>取费表!$C$7</f>
        <v>0.048</v>
      </c>
      <c r="J2442" s="274"/>
      <c r="K2442" s="274">
        <f>L2417</f>
        <v>30432.7550714203</v>
      </c>
      <c r="L2442" s="34">
        <f t="shared" ref="L2442:L2445" si="170">K2442*I2442</f>
        <v>1460.77224342817</v>
      </c>
    </row>
    <row r="2443" ht="15.6" customHeight="1" spans="1:12">
      <c r="A2443" s="7"/>
      <c r="B2443" s="7"/>
      <c r="C2443" s="230"/>
      <c r="D2443" s="274"/>
      <c r="E2443" s="274"/>
      <c r="F2443" s="34"/>
      <c r="G2443" s="7"/>
      <c r="H2443" s="7"/>
      <c r="I2443" s="230"/>
      <c r="J2443" s="274"/>
      <c r="K2443" s="274"/>
      <c r="L2443" s="34"/>
    </row>
    <row r="2444" ht="15.6" customHeight="1" spans="1:12">
      <c r="A2444" s="7" t="s">
        <v>439</v>
      </c>
      <c r="B2444" s="7" t="s">
        <v>847</v>
      </c>
      <c r="C2444" s="230">
        <f>取费表!$E$7</f>
        <v>0.07</v>
      </c>
      <c r="D2444" s="274"/>
      <c r="E2444" s="274">
        <f>F2416</f>
        <v>31332.4504433268</v>
      </c>
      <c r="F2444" s="34">
        <f>E2444*C2444</f>
        <v>2193.27153103288</v>
      </c>
      <c r="G2444" s="7" t="s">
        <v>439</v>
      </c>
      <c r="H2444" s="7" t="s">
        <v>847</v>
      </c>
      <c r="I2444" s="230">
        <f>取费表!$E$7</f>
        <v>0.07</v>
      </c>
      <c r="J2444" s="274"/>
      <c r="K2444" s="274">
        <f>L2416</f>
        <v>31893.5273148484</v>
      </c>
      <c r="L2444" s="34">
        <f t="shared" si="170"/>
        <v>2232.54691203939</v>
      </c>
    </row>
    <row r="2445" ht="15.6" customHeight="1" spans="1:12">
      <c r="A2445" s="7" t="s">
        <v>83</v>
      </c>
      <c r="B2445" s="7" t="s">
        <v>848</v>
      </c>
      <c r="C2445" s="230">
        <f>取费表!$F$7</f>
        <v>0.07</v>
      </c>
      <c r="D2445" s="274"/>
      <c r="E2445" s="274">
        <f>F2444+F2416</f>
        <v>33525.7219743597</v>
      </c>
      <c r="F2445" s="34">
        <f>E2445*C2445</f>
        <v>2346.80053820518</v>
      </c>
      <c r="G2445" s="7" t="s">
        <v>83</v>
      </c>
      <c r="H2445" s="7" t="s">
        <v>848</v>
      </c>
      <c r="I2445" s="230">
        <f>取费表!$F$7</f>
        <v>0.07</v>
      </c>
      <c r="J2445" s="274"/>
      <c r="K2445" s="274">
        <f>L2444+L2416</f>
        <v>34126.0742268878</v>
      </c>
      <c r="L2445" s="34">
        <f t="shared" si="170"/>
        <v>2388.82519588215</v>
      </c>
    </row>
    <row r="2446" ht="15.6" customHeight="1" spans="1:12">
      <c r="A2446" s="5" t="s">
        <v>121</v>
      </c>
      <c r="B2446" s="5" t="s">
        <v>861</v>
      </c>
      <c r="C2446" s="275"/>
      <c r="D2446" s="276"/>
      <c r="E2446" s="5"/>
      <c r="F2446" s="277">
        <f>SUM(F2447:F2451)</f>
        <v>9396.82833860372</v>
      </c>
      <c r="G2446" s="5" t="s">
        <v>121</v>
      </c>
      <c r="H2446" s="5" t="s">
        <v>861</v>
      </c>
      <c r="I2446" s="275"/>
      <c r="J2446" s="276"/>
      <c r="K2446" s="5"/>
      <c r="L2446" s="277">
        <f>SUM(L2447:L2451)</f>
        <v>14286.7719466043</v>
      </c>
    </row>
    <row r="2447" ht="15.6" customHeight="1" spans="1:12">
      <c r="A2447" s="7"/>
      <c r="B2447" s="7"/>
      <c r="C2447" s="7"/>
      <c r="D2447" s="34"/>
      <c r="E2447" s="34"/>
      <c r="F2447" s="69"/>
      <c r="G2447" s="7"/>
      <c r="H2447" s="7"/>
      <c r="I2447" s="7"/>
      <c r="J2447" s="34"/>
      <c r="K2447" s="34"/>
      <c r="L2447" s="69"/>
    </row>
    <row r="2448" ht="15.6" customHeight="1" spans="1:12">
      <c r="A2448" s="7"/>
      <c r="B2448" s="7" t="s">
        <v>979</v>
      </c>
      <c r="C2448" s="7" t="s">
        <v>200</v>
      </c>
      <c r="D2448" s="34">
        <f>D2405</f>
        <v>141.58936</v>
      </c>
      <c r="E2448" s="34">
        <f>E2428*配合比!E9</f>
        <v>35.641914</v>
      </c>
      <c r="F2448" s="69">
        <f>D2448*E2448</f>
        <v>5046.51579243504</v>
      </c>
      <c r="G2448" s="7"/>
      <c r="H2448" s="7" t="s">
        <v>983</v>
      </c>
      <c r="I2448" s="7" t="s">
        <v>200</v>
      </c>
      <c r="J2448" s="34">
        <f>材料预算价!K6-材料预算价!L6</f>
        <v>265.23946</v>
      </c>
      <c r="K2448" s="34">
        <f>K2428*配合比!E11</f>
        <v>37.58161</v>
      </c>
      <c r="L2448" s="69">
        <f t="shared" ref="L2448:L2451" si="171">J2448*K2448</f>
        <v>9968.1259423306</v>
      </c>
    </row>
    <row r="2449" ht="15.6" customHeight="1" spans="1:12">
      <c r="A2449" s="7"/>
      <c r="B2449" s="7" t="s">
        <v>961</v>
      </c>
      <c r="C2449" s="7" t="s">
        <v>169</v>
      </c>
      <c r="D2449" s="34">
        <f>D2406</f>
        <v>34.366056</v>
      </c>
      <c r="E2449" s="34">
        <f>E2428*配合比!G9</f>
        <v>62.17904</v>
      </c>
      <c r="F2449" s="69">
        <f>D2449*E2449</f>
        <v>2136.84837066624</v>
      </c>
      <c r="G2449" s="7"/>
      <c r="H2449" s="7" t="s">
        <v>961</v>
      </c>
      <c r="I2449" s="7" t="s">
        <v>169</v>
      </c>
      <c r="J2449" s="34">
        <f>D2449</f>
        <v>34.366056</v>
      </c>
      <c r="K2449" s="34">
        <f>K2428*配合比!G11</f>
        <v>52.18598</v>
      </c>
      <c r="L2449" s="69">
        <f t="shared" si="171"/>
        <v>1793.42631109488</v>
      </c>
    </row>
    <row r="2450" ht="15.6" customHeight="1" spans="1:12">
      <c r="A2450" s="7"/>
      <c r="B2450" s="7" t="s">
        <v>1012</v>
      </c>
      <c r="C2450" s="7" t="s">
        <v>169</v>
      </c>
      <c r="D2450" s="34">
        <f>D2407</f>
        <v>29.13701</v>
      </c>
      <c r="E2450" s="34">
        <f>E2428*配合比!I9</f>
        <v>75.967444</v>
      </c>
      <c r="F2450" s="69">
        <f>D2450*E2450</f>
        <v>2213.46417550244</v>
      </c>
      <c r="G2450" s="7"/>
      <c r="H2450" s="7" t="s">
        <v>1012</v>
      </c>
      <c r="I2450" s="7" t="s">
        <v>169</v>
      </c>
      <c r="J2450" s="34">
        <f>D2450</f>
        <v>29.13701</v>
      </c>
      <c r="K2450" s="34">
        <f>K2428*配合比!I11</f>
        <v>86.667084</v>
      </c>
      <c r="L2450" s="69">
        <f t="shared" si="171"/>
        <v>2525.21969317884</v>
      </c>
    </row>
    <row r="2451" ht="15.6" customHeight="1" spans="1:12">
      <c r="A2451" s="7"/>
      <c r="B2451" s="7" t="s">
        <v>1014</v>
      </c>
      <c r="C2451" s="7" t="s">
        <v>863</v>
      </c>
      <c r="D2451" s="34">
        <f>D2542</f>
        <v>5.925</v>
      </c>
      <c r="E2451" s="34">
        <f>E2436*台时!H34+新定额单价!E2437*5.8</f>
        <v>0</v>
      </c>
      <c r="F2451" s="69">
        <f>D2451*E2451</f>
        <v>0</v>
      </c>
      <c r="G2451" s="7"/>
      <c r="H2451" s="7" t="s">
        <v>1014</v>
      </c>
      <c r="I2451" s="7" t="s">
        <v>863</v>
      </c>
      <c r="J2451" s="34">
        <f>D2451</f>
        <v>5.925</v>
      </c>
      <c r="K2451" s="34">
        <f>K2436*台时!N34+新定额单价!K2437*5.8</f>
        <v>0</v>
      </c>
      <c r="L2451" s="69">
        <f t="shared" si="171"/>
        <v>0</v>
      </c>
    </row>
    <row r="2452" ht="15.6" customHeight="1" spans="1:12">
      <c r="A2452" s="7" t="s">
        <v>135</v>
      </c>
      <c r="B2452" s="7" t="s">
        <v>849</v>
      </c>
      <c r="C2452" s="231">
        <f>C2408</f>
        <v>0.09</v>
      </c>
      <c r="D2452" s="34"/>
      <c r="E2452" s="34">
        <f>F2446+F2445+F2444+F2416</f>
        <v>45269.3508511686</v>
      </c>
      <c r="F2452" s="34">
        <f>E2452*C2452</f>
        <v>4074.24157660517</v>
      </c>
      <c r="G2452" s="7" t="s">
        <v>135</v>
      </c>
      <c r="H2452" s="7" t="s">
        <v>849</v>
      </c>
      <c r="I2452" s="231">
        <f>C2452</f>
        <v>0.09</v>
      </c>
      <c r="J2452" s="34"/>
      <c r="K2452" s="34">
        <f>L2446+L2445+L2444+L2416</f>
        <v>50801.6713693743</v>
      </c>
      <c r="L2452" s="34">
        <f>K2452*I2452</f>
        <v>4572.15042324368</v>
      </c>
    </row>
    <row r="2453" ht="15.6" customHeight="1" spans="1:12">
      <c r="A2453" s="7"/>
      <c r="B2453" s="7" t="s">
        <v>850</v>
      </c>
      <c r="C2453" s="231"/>
      <c r="D2453" s="34"/>
      <c r="E2453" s="34"/>
      <c r="F2453" s="34">
        <f>(F2416+F2444+F2445+F2446+F2452)*取费表!H4</f>
        <v>1480.30777283321</v>
      </c>
      <c r="G2453" s="7"/>
      <c r="H2453" s="7" t="s">
        <v>850</v>
      </c>
      <c r="I2453" s="231"/>
      <c r="J2453" s="34"/>
      <c r="K2453" s="34"/>
      <c r="L2453" s="34">
        <f>(L2416+L2444+L2445+L2446+L2452)*取费表!H7</f>
        <v>1661.21465377854</v>
      </c>
    </row>
    <row r="2454" ht="15.6" customHeight="1" spans="1:12">
      <c r="A2454" s="7"/>
      <c r="B2454" s="7" t="s">
        <v>156</v>
      </c>
      <c r="C2454" s="7"/>
      <c r="D2454" s="34"/>
      <c r="E2454" s="34"/>
      <c r="F2454" s="34">
        <f>F2452+E2452+F2453</f>
        <v>50823.900200607</v>
      </c>
      <c r="G2454" s="7"/>
      <c r="H2454" s="7" t="s">
        <v>156</v>
      </c>
      <c r="I2454" s="7"/>
      <c r="J2454" s="34"/>
      <c r="K2454" s="34"/>
      <c r="L2454" s="34">
        <f>L2452+K2452+L2453</f>
        <v>57035.0364463965</v>
      </c>
    </row>
    <row r="2455" ht="15.6" customHeight="1" spans="1:12">
      <c r="A2455" s="248" t="s">
        <v>881</v>
      </c>
      <c r="B2455" s="225"/>
      <c r="C2455" s="225"/>
      <c r="D2455" s="225"/>
      <c r="E2455" s="225"/>
      <c r="F2455" s="225"/>
      <c r="G2455" s="248" t="s">
        <v>881</v>
      </c>
      <c r="H2455" s="225"/>
      <c r="I2455" s="225"/>
      <c r="J2455" s="225"/>
      <c r="K2455" s="225"/>
      <c r="L2455" s="225"/>
    </row>
    <row r="2456" ht="15.6" customHeight="1" spans="1:12">
      <c r="A2456" s="278" t="s">
        <v>1089</v>
      </c>
      <c r="B2456" s="272"/>
      <c r="C2456" s="272"/>
      <c r="D2456" s="272"/>
      <c r="E2456" s="272"/>
      <c r="F2456" s="272"/>
      <c r="G2456" s="278" t="s">
        <v>1090</v>
      </c>
      <c r="H2456" s="272"/>
      <c r="I2456" s="272"/>
      <c r="J2456" s="272"/>
      <c r="K2456" s="272"/>
      <c r="L2456" s="272"/>
    </row>
    <row r="2457" ht="15.6" customHeight="1" spans="1:12">
      <c r="A2457" s="227" t="s">
        <v>1091</v>
      </c>
      <c r="B2457" s="228"/>
      <c r="C2457" s="272"/>
      <c r="D2457" s="272"/>
      <c r="E2457" s="228" t="s">
        <v>832</v>
      </c>
      <c r="F2457" s="228"/>
      <c r="G2457" s="227" t="s">
        <v>1091</v>
      </c>
      <c r="H2457" s="228"/>
      <c r="I2457" s="272"/>
      <c r="J2457" s="272"/>
      <c r="K2457" s="228" t="s">
        <v>832</v>
      </c>
      <c r="L2457" s="228"/>
    </row>
    <row r="2458" ht="15.6" customHeight="1" spans="1:12">
      <c r="A2458" s="146" t="s">
        <v>911</v>
      </c>
      <c r="B2458" s="233"/>
      <c r="C2458" s="233"/>
      <c r="D2458" s="233"/>
      <c r="E2458" s="233"/>
      <c r="F2458" s="147"/>
      <c r="G2458" s="146" t="s">
        <v>911</v>
      </c>
      <c r="H2458" s="233"/>
      <c r="I2458" s="233"/>
      <c r="J2458" s="233"/>
      <c r="K2458" s="233"/>
      <c r="L2458" s="147"/>
    </row>
    <row r="2459" ht="15.6" customHeight="1" spans="1:12">
      <c r="A2459" s="7" t="s">
        <v>104</v>
      </c>
      <c r="B2459" s="7" t="s">
        <v>835</v>
      </c>
      <c r="C2459" s="7" t="s">
        <v>159</v>
      </c>
      <c r="D2459" s="7" t="s">
        <v>422</v>
      </c>
      <c r="E2459" s="7" t="s">
        <v>160</v>
      </c>
      <c r="F2459" s="7" t="s">
        <v>18</v>
      </c>
      <c r="G2459" s="7" t="s">
        <v>104</v>
      </c>
      <c r="H2459" s="7" t="s">
        <v>835</v>
      </c>
      <c r="I2459" s="7" t="s">
        <v>159</v>
      </c>
      <c r="J2459" s="7" t="s">
        <v>422</v>
      </c>
      <c r="K2459" s="7" t="s">
        <v>160</v>
      </c>
      <c r="L2459" s="7" t="s">
        <v>18</v>
      </c>
    </row>
    <row r="2460" ht="15.6" customHeight="1" spans="1:12">
      <c r="A2460" s="7" t="s">
        <v>836</v>
      </c>
      <c r="B2460" s="7" t="s">
        <v>837</v>
      </c>
      <c r="C2460" s="7"/>
      <c r="D2460" s="7"/>
      <c r="E2460" s="7"/>
      <c r="F2460" s="34">
        <f>F2461+F2486+F2487</f>
        <v>39224.3497969227</v>
      </c>
      <c r="G2460" s="7" t="s">
        <v>836</v>
      </c>
      <c r="H2460" s="7" t="s">
        <v>837</v>
      </c>
      <c r="I2460" s="7"/>
      <c r="J2460" s="7"/>
      <c r="K2460" s="7"/>
      <c r="L2460" s="34">
        <f>L2461+L2486+L2487</f>
        <v>39746.9683747271</v>
      </c>
    </row>
    <row r="2461" ht="15.6" customHeight="1" spans="1:12">
      <c r="A2461" s="7" t="s">
        <v>539</v>
      </c>
      <c r="B2461" s="7" t="s">
        <v>838</v>
      </c>
      <c r="C2461" s="7"/>
      <c r="D2461" s="7"/>
      <c r="E2461" s="7"/>
      <c r="F2461" s="34">
        <f>F2462+F2465+F2475+F2483</f>
        <v>37427.8146917202</v>
      </c>
      <c r="G2461" s="7" t="s">
        <v>539</v>
      </c>
      <c r="H2461" s="7" t="s">
        <v>838</v>
      </c>
      <c r="I2461" s="7"/>
      <c r="J2461" s="7"/>
      <c r="K2461" s="7"/>
      <c r="L2461" s="34">
        <f>L2462+L2465+L2475+L2483</f>
        <v>37926.4965407702</v>
      </c>
    </row>
    <row r="2462" ht="15.6" customHeight="1" spans="1:12">
      <c r="A2462" s="7">
        <v>1</v>
      </c>
      <c r="B2462" s="7" t="s">
        <v>839</v>
      </c>
      <c r="C2462" s="7" t="s">
        <v>840</v>
      </c>
      <c r="D2462" s="34"/>
      <c r="E2462" s="69">
        <f>SUM(E2463:E2464)</f>
        <v>1624.7</v>
      </c>
      <c r="F2462" s="69">
        <f>SUM(F2463:F2464)</f>
        <v>11671.433</v>
      </c>
      <c r="G2462" s="7">
        <v>1</v>
      </c>
      <c r="H2462" s="7" t="s">
        <v>839</v>
      </c>
      <c r="I2462" s="7" t="s">
        <v>840</v>
      </c>
      <c r="J2462" s="34"/>
      <c r="K2462" s="69">
        <f>SUM(K2463:K2464)</f>
        <v>1624.7</v>
      </c>
      <c r="L2462" s="69">
        <f>SUM(L2463:L2464)</f>
        <v>11671.433</v>
      </c>
    </row>
    <row r="2463" ht="15.6" customHeight="1" spans="1:12">
      <c r="A2463" s="7"/>
      <c r="B2463" s="7" t="s">
        <v>841</v>
      </c>
      <c r="C2463" s="7" t="s">
        <v>840</v>
      </c>
      <c r="D2463" s="69">
        <f>D2419</f>
        <v>8.1</v>
      </c>
      <c r="E2463" s="42">
        <v>985.8</v>
      </c>
      <c r="F2463" s="69">
        <f>D2463*E2463</f>
        <v>7984.98</v>
      </c>
      <c r="G2463" s="7"/>
      <c r="H2463" s="7" t="s">
        <v>841</v>
      </c>
      <c r="I2463" s="7" t="s">
        <v>840</v>
      </c>
      <c r="J2463" s="69">
        <f t="shared" ref="J2463:J2472" si="172">J2419</f>
        <v>8.1</v>
      </c>
      <c r="K2463" s="42">
        <v>985.8</v>
      </c>
      <c r="L2463" s="69">
        <f t="shared" ref="L2463:L2473" si="173">J2463*K2463</f>
        <v>7984.98</v>
      </c>
    </row>
    <row r="2464" ht="15.6" customHeight="1" spans="1:12">
      <c r="A2464" s="7"/>
      <c r="B2464" s="7" t="s">
        <v>842</v>
      </c>
      <c r="C2464" s="7" t="s">
        <v>840</v>
      </c>
      <c r="D2464" s="69">
        <f>D2420</f>
        <v>5.77</v>
      </c>
      <c r="E2464" s="42">
        <v>638.9</v>
      </c>
      <c r="F2464" s="69">
        <f>D2464*E2464</f>
        <v>3686.453</v>
      </c>
      <c r="G2464" s="7"/>
      <c r="H2464" s="7" t="s">
        <v>842</v>
      </c>
      <c r="I2464" s="7" t="s">
        <v>840</v>
      </c>
      <c r="J2464" s="69">
        <f t="shared" si="172"/>
        <v>5.77</v>
      </c>
      <c r="K2464" s="42">
        <v>638.9</v>
      </c>
      <c r="L2464" s="69">
        <f t="shared" si="173"/>
        <v>3686.453</v>
      </c>
    </row>
    <row r="2465" ht="15.6" customHeight="1" spans="1:12">
      <c r="A2465" s="7">
        <v>2</v>
      </c>
      <c r="B2465" s="7" t="s">
        <v>912</v>
      </c>
      <c r="C2465" s="7"/>
      <c r="D2465" s="34"/>
      <c r="E2465" s="34"/>
      <c r="F2465" s="34">
        <f>SUM(F2466:F2474)</f>
        <v>22772.80101841</v>
      </c>
      <c r="G2465" s="7">
        <v>2</v>
      </c>
      <c r="H2465" s="7" t="s">
        <v>912</v>
      </c>
      <c r="I2465" s="7"/>
      <c r="J2465" s="34"/>
      <c r="K2465" s="34"/>
      <c r="L2465" s="34">
        <f>SUM(L2466:L2474)</f>
        <v>23271.48286746</v>
      </c>
    </row>
    <row r="2466" ht="15.6" customHeight="1" spans="1:12">
      <c r="A2466" s="7"/>
      <c r="B2466" s="273" t="s">
        <v>996</v>
      </c>
      <c r="C2466" s="273" t="s">
        <v>169</v>
      </c>
      <c r="D2466" s="34">
        <f t="shared" ref="D2466:D2471" si="174">D2422</f>
        <v>2238.008025</v>
      </c>
      <c r="E2466" s="34">
        <v>0.9</v>
      </c>
      <c r="F2466" s="34">
        <f t="shared" ref="F2466:F2473" si="175">D2466*E2466</f>
        <v>2014.2072225</v>
      </c>
      <c r="G2466" s="7"/>
      <c r="H2466" s="273" t="s">
        <v>996</v>
      </c>
      <c r="I2466" s="273" t="s">
        <v>169</v>
      </c>
      <c r="J2466" s="34">
        <f t="shared" si="172"/>
        <v>2238.008025</v>
      </c>
      <c r="K2466" s="34">
        <v>0.9</v>
      </c>
      <c r="L2466" s="34">
        <f t="shared" si="173"/>
        <v>2014.2072225</v>
      </c>
    </row>
    <row r="2467" ht="15.6" customHeight="1" spans="1:12">
      <c r="A2467" s="7"/>
      <c r="B2467" s="273" t="s">
        <v>1066</v>
      </c>
      <c r="C2467" s="273" t="s">
        <v>863</v>
      </c>
      <c r="D2467" s="34">
        <f t="shared" si="174"/>
        <v>4.44</v>
      </c>
      <c r="E2467" s="34">
        <v>20.5</v>
      </c>
      <c r="F2467" s="34">
        <f t="shared" si="175"/>
        <v>91.02</v>
      </c>
      <c r="G2467" s="7"/>
      <c r="H2467" s="273" t="s">
        <v>1066</v>
      </c>
      <c r="I2467" s="273" t="s">
        <v>863</v>
      </c>
      <c r="J2467" s="34">
        <f t="shared" si="172"/>
        <v>4.44</v>
      </c>
      <c r="K2467" s="34">
        <v>20.5</v>
      </c>
      <c r="L2467" s="34">
        <f t="shared" si="173"/>
        <v>91.02</v>
      </c>
    </row>
    <row r="2468" ht="15.6" customHeight="1" spans="1:12">
      <c r="A2468" s="7"/>
      <c r="B2468" s="273" t="s">
        <v>998</v>
      </c>
      <c r="C2468" s="273" t="s">
        <v>863</v>
      </c>
      <c r="D2468" s="34">
        <f t="shared" si="174"/>
        <v>4.5</v>
      </c>
      <c r="E2468" s="34">
        <v>49.1</v>
      </c>
      <c r="F2468" s="34">
        <f t="shared" si="175"/>
        <v>220.95</v>
      </c>
      <c r="G2468" s="7"/>
      <c r="H2468" s="273" t="s">
        <v>998</v>
      </c>
      <c r="I2468" s="273" t="s">
        <v>863</v>
      </c>
      <c r="J2468" s="34">
        <f t="shared" si="172"/>
        <v>4.5</v>
      </c>
      <c r="K2468" s="34">
        <v>49.1</v>
      </c>
      <c r="L2468" s="34">
        <f t="shared" si="173"/>
        <v>220.95</v>
      </c>
    </row>
    <row r="2469" ht="15.6" customHeight="1" spans="1:12">
      <c r="A2469" s="7"/>
      <c r="B2469" s="273" t="s">
        <v>999</v>
      </c>
      <c r="C2469" s="273" t="s">
        <v>863</v>
      </c>
      <c r="D2469" s="34">
        <f t="shared" si="174"/>
        <v>5.15</v>
      </c>
      <c r="E2469" s="34">
        <v>65.9</v>
      </c>
      <c r="F2469" s="34">
        <f t="shared" si="175"/>
        <v>339.385</v>
      </c>
      <c r="G2469" s="7"/>
      <c r="H2469" s="273" t="s">
        <v>999</v>
      </c>
      <c r="I2469" s="273" t="s">
        <v>863</v>
      </c>
      <c r="J2469" s="34">
        <f t="shared" si="172"/>
        <v>5.15</v>
      </c>
      <c r="K2469" s="34">
        <v>65.9</v>
      </c>
      <c r="L2469" s="34">
        <f t="shared" si="173"/>
        <v>339.385</v>
      </c>
    </row>
    <row r="2470" ht="15.6" customHeight="1" spans="1:12">
      <c r="A2470" s="7"/>
      <c r="B2470" s="273" t="s">
        <v>1000</v>
      </c>
      <c r="C2470" s="273" t="s">
        <v>863</v>
      </c>
      <c r="D2470" s="34">
        <f t="shared" si="174"/>
        <v>4.5</v>
      </c>
      <c r="E2470" s="34">
        <f>1.5+76.6</f>
        <v>78.1</v>
      </c>
      <c r="F2470" s="34">
        <f t="shared" si="175"/>
        <v>351.45</v>
      </c>
      <c r="G2470" s="7"/>
      <c r="H2470" s="273" t="s">
        <v>1000</v>
      </c>
      <c r="I2470" s="273" t="s">
        <v>863</v>
      </c>
      <c r="J2470" s="34">
        <f t="shared" si="172"/>
        <v>4.5</v>
      </c>
      <c r="K2470" s="34">
        <f>1.5+76.6</f>
        <v>78.1</v>
      </c>
      <c r="L2470" s="34">
        <f t="shared" si="173"/>
        <v>351.45</v>
      </c>
    </row>
    <row r="2471" ht="15.6" customHeight="1" spans="1:12">
      <c r="A2471" s="7"/>
      <c r="B2471" s="273" t="s">
        <v>1002</v>
      </c>
      <c r="C2471" s="273" t="s">
        <v>863</v>
      </c>
      <c r="D2471" s="34">
        <f t="shared" si="174"/>
        <v>5.97</v>
      </c>
      <c r="E2471" s="34">
        <v>1.6</v>
      </c>
      <c r="F2471" s="34">
        <f t="shared" si="175"/>
        <v>9.552</v>
      </c>
      <c r="G2471" s="7"/>
      <c r="H2471" s="273" t="s">
        <v>1002</v>
      </c>
      <c r="I2471" s="273" t="s">
        <v>863</v>
      </c>
      <c r="J2471" s="34">
        <f t="shared" si="172"/>
        <v>5.97</v>
      </c>
      <c r="K2471" s="34">
        <v>1.6</v>
      </c>
      <c r="L2471" s="34">
        <f t="shared" si="173"/>
        <v>9.552</v>
      </c>
    </row>
    <row r="2472" ht="15.6" customHeight="1" spans="1:12">
      <c r="A2472" s="7"/>
      <c r="B2472" s="7" t="s">
        <v>1003</v>
      </c>
      <c r="C2472" s="7" t="s">
        <v>169</v>
      </c>
      <c r="D2472" s="34">
        <f>配合比!M10</f>
        <v>183.2481895</v>
      </c>
      <c r="E2472" s="34">
        <v>103</v>
      </c>
      <c r="F2472" s="34">
        <f t="shared" si="175"/>
        <v>18874.5635185</v>
      </c>
      <c r="G2472" s="7"/>
      <c r="H2472" s="7" t="s">
        <v>1039</v>
      </c>
      <c r="I2472" s="7" t="s">
        <v>169</v>
      </c>
      <c r="J2472" s="34">
        <f t="shared" si="172"/>
        <v>188.0418245</v>
      </c>
      <c r="K2472" s="34">
        <v>103</v>
      </c>
      <c r="L2472" s="34">
        <f t="shared" si="173"/>
        <v>19368.3079235</v>
      </c>
    </row>
    <row r="2473" ht="15.6" customHeight="1" spans="1:12">
      <c r="A2473" s="7"/>
      <c r="B2473" s="7" t="s">
        <v>913</v>
      </c>
      <c r="C2473" s="7" t="s">
        <v>169</v>
      </c>
      <c r="D2473" s="34">
        <f>D2429</f>
        <v>3.59</v>
      </c>
      <c r="E2473" s="34">
        <v>180</v>
      </c>
      <c r="F2473" s="34">
        <f t="shared" si="175"/>
        <v>646.2</v>
      </c>
      <c r="G2473" s="7"/>
      <c r="H2473" s="7" t="s">
        <v>913</v>
      </c>
      <c r="I2473" s="7" t="s">
        <v>169</v>
      </c>
      <c r="J2473" s="34">
        <f t="shared" ref="J2473:J2481" si="176">J2429</f>
        <v>3.59</v>
      </c>
      <c r="K2473" s="34">
        <v>180</v>
      </c>
      <c r="L2473" s="34">
        <f t="shared" si="173"/>
        <v>646.2</v>
      </c>
    </row>
    <row r="2474" ht="15.6" customHeight="1" spans="1:12">
      <c r="A2474" s="7"/>
      <c r="B2474" s="7" t="s">
        <v>1004</v>
      </c>
      <c r="C2474" s="9" t="s">
        <v>845</v>
      </c>
      <c r="D2474" s="34">
        <f>SUM(F2466:F2473)</f>
        <v>22547.327741</v>
      </c>
      <c r="E2474" s="34">
        <v>1</v>
      </c>
      <c r="F2474" s="34">
        <f>D2474*E2474/100</f>
        <v>225.47327741</v>
      </c>
      <c r="G2474" s="7"/>
      <c r="H2474" s="7" t="s">
        <v>1004</v>
      </c>
      <c r="I2474" s="9" t="s">
        <v>845</v>
      </c>
      <c r="J2474" s="34">
        <f>SUM(L2466:L2473)</f>
        <v>23041.072146</v>
      </c>
      <c r="K2474" s="34">
        <v>1</v>
      </c>
      <c r="L2474" s="34">
        <f>J2474*K2474/100</f>
        <v>230.41072146</v>
      </c>
    </row>
    <row r="2475" ht="15.6" customHeight="1" spans="1:12">
      <c r="A2475" s="7">
        <v>3</v>
      </c>
      <c r="B2475" s="7" t="s">
        <v>859</v>
      </c>
      <c r="C2475" s="7"/>
      <c r="D2475" s="34"/>
      <c r="E2475" s="34"/>
      <c r="F2475" s="34">
        <f>SUM(F2476:F2482)</f>
        <v>991.924481922018</v>
      </c>
      <c r="G2475" s="7">
        <v>3</v>
      </c>
      <c r="H2475" s="7" t="s">
        <v>859</v>
      </c>
      <c r="I2475" s="7"/>
      <c r="J2475" s="34"/>
      <c r="K2475" s="34"/>
      <c r="L2475" s="34">
        <f>SUM(L2476:L2482)</f>
        <v>991.924481922018</v>
      </c>
    </row>
    <row r="2476" ht="15.6" customHeight="1" spans="1:12">
      <c r="A2476" s="7"/>
      <c r="B2476" s="7" t="s">
        <v>1009</v>
      </c>
      <c r="C2476" s="7" t="s">
        <v>428</v>
      </c>
      <c r="D2476" s="34">
        <f t="shared" ref="D2476:D2481" si="177">D2432</f>
        <v>1.82152692461109</v>
      </c>
      <c r="E2476" s="34">
        <v>44</v>
      </c>
      <c r="F2476" s="34">
        <f t="shared" ref="F2476:F2481" si="178">D2476*E2476</f>
        <v>80.1471846828879</v>
      </c>
      <c r="G2476" s="7"/>
      <c r="H2476" s="7" t="s">
        <v>1009</v>
      </c>
      <c r="I2476" s="7" t="s">
        <v>428</v>
      </c>
      <c r="J2476" s="34">
        <f t="shared" si="176"/>
        <v>1.82152692461109</v>
      </c>
      <c r="K2476" s="34">
        <v>44</v>
      </c>
      <c r="L2476" s="34">
        <f t="shared" ref="L2476:L2481" si="179">J2476*K2476</f>
        <v>80.1471846828879</v>
      </c>
    </row>
    <row r="2477" ht="15.6" customHeight="1" spans="1:12">
      <c r="A2477" s="7"/>
      <c r="B2477" s="279" t="s">
        <v>1079</v>
      </c>
      <c r="C2477" s="7" t="s">
        <v>428</v>
      </c>
      <c r="D2477" s="34">
        <f t="shared" si="177"/>
        <v>23.9179521340247</v>
      </c>
      <c r="E2477" s="34">
        <v>18.54</v>
      </c>
      <c r="F2477" s="34">
        <f t="shared" si="178"/>
        <v>443.438832564818</v>
      </c>
      <c r="G2477" s="7"/>
      <c r="H2477" s="279" t="s">
        <v>1079</v>
      </c>
      <c r="I2477" s="7" t="s">
        <v>428</v>
      </c>
      <c r="J2477" s="34">
        <f t="shared" si="176"/>
        <v>23.9179521340247</v>
      </c>
      <c r="K2477" s="34">
        <v>18.54</v>
      </c>
      <c r="L2477" s="34">
        <f t="shared" si="179"/>
        <v>443.438832564818</v>
      </c>
    </row>
    <row r="2478" ht="15.6" customHeight="1" spans="1:12">
      <c r="A2478" s="7"/>
      <c r="B2478" s="7" t="s">
        <v>967</v>
      </c>
      <c r="C2478" s="7" t="s">
        <v>428</v>
      </c>
      <c r="D2478" s="34">
        <f t="shared" si="177"/>
        <v>0.813242919824491</v>
      </c>
      <c r="E2478" s="251">
        <v>83</v>
      </c>
      <c r="F2478" s="34">
        <f t="shared" si="178"/>
        <v>67.4991623454328</v>
      </c>
      <c r="G2478" s="7"/>
      <c r="H2478" s="7" t="s">
        <v>967</v>
      </c>
      <c r="I2478" s="7" t="s">
        <v>428</v>
      </c>
      <c r="J2478" s="34">
        <f t="shared" si="176"/>
        <v>0.813242919824491</v>
      </c>
      <c r="K2478" s="251">
        <v>83</v>
      </c>
      <c r="L2478" s="34">
        <f t="shared" si="179"/>
        <v>67.4991623454328</v>
      </c>
    </row>
    <row r="2479" ht="15.6" customHeight="1" spans="1:12">
      <c r="A2479" s="7"/>
      <c r="B2479" s="273" t="s">
        <v>1080</v>
      </c>
      <c r="C2479" s="7" t="s">
        <v>428</v>
      </c>
      <c r="D2479" s="34">
        <f t="shared" si="177"/>
        <v>8.3371858795373</v>
      </c>
      <c r="E2479" s="251">
        <v>3.73</v>
      </c>
      <c r="F2479" s="34">
        <f t="shared" si="178"/>
        <v>31.0977033306741</v>
      </c>
      <c r="G2479" s="7"/>
      <c r="H2479" s="273" t="s">
        <v>1080</v>
      </c>
      <c r="I2479" s="7" t="s">
        <v>428</v>
      </c>
      <c r="J2479" s="34">
        <f t="shared" si="176"/>
        <v>8.3371858795373</v>
      </c>
      <c r="K2479" s="251">
        <v>3.73</v>
      </c>
      <c r="L2479" s="34">
        <f t="shared" si="179"/>
        <v>31.0977033306741</v>
      </c>
    </row>
    <row r="2480" ht="15.6" customHeight="1" spans="1:12">
      <c r="A2480" s="7"/>
      <c r="B2480" s="7" t="s">
        <v>1005</v>
      </c>
      <c r="C2480" s="7" t="s">
        <v>428</v>
      </c>
      <c r="D2480" s="34">
        <f t="shared" si="177"/>
        <v>49.389824491424</v>
      </c>
      <c r="E2480" s="251">
        <v>2.09</v>
      </c>
      <c r="F2480" s="34">
        <f t="shared" si="178"/>
        <v>103.224733187076</v>
      </c>
      <c r="G2480" s="7"/>
      <c r="H2480" s="7" t="s">
        <v>1005</v>
      </c>
      <c r="I2480" s="7" t="s">
        <v>428</v>
      </c>
      <c r="J2480" s="34">
        <f t="shared" si="176"/>
        <v>49.389824491424</v>
      </c>
      <c r="K2480" s="251">
        <v>2.09</v>
      </c>
      <c r="L2480" s="34">
        <f t="shared" si="179"/>
        <v>103.224733187076</v>
      </c>
    </row>
    <row r="2481" ht="15.6" customHeight="1" spans="1:12">
      <c r="A2481" s="7"/>
      <c r="B2481" s="273" t="s">
        <v>1088</v>
      </c>
      <c r="C2481" s="7" t="s">
        <v>428</v>
      </c>
      <c r="D2481" s="34">
        <f t="shared" si="177"/>
        <v>62.3342780215397</v>
      </c>
      <c r="E2481" s="251">
        <v>2.2</v>
      </c>
      <c r="F2481" s="34">
        <f t="shared" si="178"/>
        <v>137.135411647387</v>
      </c>
      <c r="G2481" s="7"/>
      <c r="H2481" s="273" t="s">
        <v>1088</v>
      </c>
      <c r="I2481" s="7" t="s">
        <v>428</v>
      </c>
      <c r="J2481" s="34">
        <f t="shared" si="176"/>
        <v>62.3342780215397</v>
      </c>
      <c r="K2481" s="251">
        <v>2.2</v>
      </c>
      <c r="L2481" s="34">
        <f t="shared" si="179"/>
        <v>137.135411647387</v>
      </c>
    </row>
    <row r="2482" ht="15.6" customHeight="1" spans="1:12">
      <c r="A2482" s="7"/>
      <c r="B2482" s="7" t="s">
        <v>918</v>
      </c>
      <c r="C2482" s="9" t="s">
        <v>845</v>
      </c>
      <c r="D2482" s="34">
        <f>SUM(F2476:F2481)</f>
        <v>862.543027758277</v>
      </c>
      <c r="E2482" s="34">
        <v>15</v>
      </c>
      <c r="F2482" s="34">
        <f>D2482*E2482/100</f>
        <v>129.381454163742</v>
      </c>
      <c r="G2482" s="7"/>
      <c r="H2482" s="7" t="s">
        <v>918</v>
      </c>
      <c r="I2482" s="9" t="s">
        <v>845</v>
      </c>
      <c r="J2482" s="34">
        <f>SUM(L2476:L2481)</f>
        <v>862.543027758277</v>
      </c>
      <c r="K2482" s="34">
        <v>15</v>
      </c>
      <c r="L2482" s="34">
        <f>J2482*K2482/100</f>
        <v>129.381454163742</v>
      </c>
    </row>
    <row r="2483" ht="15.6" customHeight="1" spans="1:12">
      <c r="A2483" s="5">
        <v>4</v>
      </c>
      <c r="B2483" s="5" t="s">
        <v>1010</v>
      </c>
      <c r="C2483" s="275"/>
      <c r="D2483" s="276"/>
      <c r="E2483" s="276"/>
      <c r="F2483" s="276">
        <f>SUM(F2484:F2485)</f>
        <v>1991.65619138815</v>
      </c>
      <c r="G2483" s="5">
        <v>4</v>
      </c>
      <c r="H2483" s="5" t="s">
        <v>1010</v>
      </c>
      <c r="I2483" s="275"/>
      <c r="J2483" s="276"/>
      <c r="K2483" s="276"/>
      <c r="L2483" s="276">
        <f>SUM(L2484:L2485)</f>
        <v>1991.65619138815</v>
      </c>
    </row>
    <row r="2484" ht="15.6" customHeight="1" spans="1:12">
      <c r="A2484" s="7"/>
      <c r="B2484" s="123" t="s">
        <v>681</v>
      </c>
      <c r="C2484" s="123" t="s">
        <v>169</v>
      </c>
      <c r="D2484" s="274">
        <f>$F$2795/100</f>
        <v>5.03319379720782</v>
      </c>
      <c r="E2484" s="274">
        <v>103</v>
      </c>
      <c r="F2484" s="34">
        <f>D2484*E2484</f>
        <v>518.418961112405</v>
      </c>
      <c r="G2484" s="7"/>
      <c r="H2484" s="123" t="s">
        <v>681</v>
      </c>
      <c r="I2484" s="123" t="s">
        <v>169</v>
      </c>
      <c r="J2484" s="274">
        <f>$F$2795/100</f>
        <v>5.03319379720782</v>
      </c>
      <c r="K2484" s="274">
        <v>103</v>
      </c>
      <c r="L2484" s="34">
        <f>J2484*K2484</f>
        <v>518.418961112405</v>
      </c>
    </row>
    <row r="2485" ht="15.6" customHeight="1" spans="1:12">
      <c r="A2485" s="7"/>
      <c r="B2485" s="123" t="s">
        <v>682</v>
      </c>
      <c r="C2485" s="123" t="s">
        <v>169</v>
      </c>
      <c r="D2485" s="274">
        <f>$F$2813/100</f>
        <v>14.303274080347</v>
      </c>
      <c r="E2485" s="274">
        <v>103</v>
      </c>
      <c r="F2485" s="34">
        <f>D2485*E2485</f>
        <v>1473.23723027574</v>
      </c>
      <c r="G2485" s="7"/>
      <c r="H2485" s="123" t="s">
        <v>682</v>
      </c>
      <c r="I2485" s="123" t="s">
        <v>169</v>
      </c>
      <c r="J2485" s="274">
        <f>$F$2813/100</f>
        <v>14.303274080347</v>
      </c>
      <c r="K2485" s="274">
        <v>103</v>
      </c>
      <c r="L2485" s="34">
        <f>J2485*K2485</f>
        <v>1473.23723027574</v>
      </c>
    </row>
    <row r="2486" ht="15.6" customHeight="1" spans="1:12">
      <c r="A2486" s="7" t="s">
        <v>564</v>
      </c>
      <c r="B2486" s="7" t="s">
        <v>846</v>
      </c>
      <c r="C2486" s="230">
        <f>取费表!$C$7</f>
        <v>0.048</v>
      </c>
      <c r="D2486" s="274"/>
      <c r="E2486" s="274">
        <f>F2461</f>
        <v>37427.8146917202</v>
      </c>
      <c r="F2486" s="34">
        <f>E2486*C2486</f>
        <v>1796.53510520257</v>
      </c>
      <c r="G2486" s="7" t="s">
        <v>564</v>
      </c>
      <c r="H2486" s="7" t="s">
        <v>846</v>
      </c>
      <c r="I2486" s="230">
        <f>取费表!$C$7</f>
        <v>0.048</v>
      </c>
      <c r="J2486" s="274"/>
      <c r="K2486" s="274">
        <f>L2461</f>
        <v>37926.4965407702</v>
      </c>
      <c r="L2486" s="34">
        <f t="shared" ref="L2486:L2489" si="180">K2486*I2486</f>
        <v>1820.47183395697</v>
      </c>
    </row>
    <row r="2487" ht="15.6" customHeight="1" spans="1:12">
      <c r="A2487" s="7"/>
      <c r="B2487" s="7"/>
      <c r="C2487" s="230"/>
      <c r="D2487" s="274"/>
      <c r="E2487" s="274"/>
      <c r="F2487" s="34"/>
      <c r="G2487" s="7"/>
      <c r="H2487" s="7"/>
      <c r="I2487" s="230"/>
      <c r="J2487" s="274"/>
      <c r="K2487" s="274"/>
      <c r="L2487" s="34"/>
    </row>
    <row r="2488" ht="15.6" customHeight="1" spans="1:12">
      <c r="A2488" s="7" t="s">
        <v>439</v>
      </c>
      <c r="B2488" s="7" t="s">
        <v>847</v>
      </c>
      <c r="C2488" s="230">
        <f>取费表!$E$7</f>
        <v>0.07</v>
      </c>
      <c r="D2488" s="274"/>
      <c r="E2488" s="274">
        <f>F2460</f>
        <v>39224.3497969227</v>
      </c>
      <c r="F2488" s="34">
        <f>E2488*C2488</f>
        <v>2745.70448578459</v>
      </c>
      <c r="G2488" s="7" t="s">
        <v>439</v>
      </c>
      <c r="H2488" s="7" t="s">
        <v>847</v>
      </c>
      <c r="I2488" s="230">
        <f>取费表!$E$7</f>
        <v>0.07</v>
      </c>
      <c r="J2488" s="274"/>
      <c r="K2488" s="274">
        <f>L2460</f>
        <v>39746.9683747271</v>
      </c>
      <c r="L2488" s="34">
        <f t="shared" si="180"/>
        <v>2782.2877862309</v>
      </c>
    </row>
    <row r="2489" ht="15.6" customHeight="1" spans="1:12">
      <c r="A2489" s="7" t="s">
        <v>83</v>
      </c>
      <c r="B2489" s="7" t="s">
        <v>848</v>
      </c>
      <c r="C2489" s="230">
        <f>取费表!$F$7</f>
        <v>0.07</v>
      </c>
      <c r="D2489" s="274"/>
      <c r="E2489" s="274">
        <f>F2488+F2460</f>
        <v>41970.0542827073</v>
      </c>
      <c r="F2489" s="34">
        <f>E2489*C2489</f>
        <v>2937.90379978951</v>
      </c>
      <c r="G2489" s="7" t="s">
        <v>83</v>
      </c>
      <c r="H2489" s="7" t="s">
        <v>848</v>
      </c>
      <c r="I2489" s="230">
        <f>取费表!$F$7</f>
        <v>0.07</v>
      </c>
      <c r="J2489" s="274"/>
      <c r="K2489" s="274">
        <f>L2488+L2460</f>
        <v>42529.256160958</v>
      </c>
      <c r="L2489" s="34">
        <f t="shared" si="180"/>
        <v>2977.04793126706</v>
      </c>
    </row>
    <row r="2490" ht="15.6" customHeight="1" spans="1:12">
      <c r="A2490" s="5" t="s">
        <v>121</v>
      </c>
      <c r="B2490" s="5" t="s">
        <v>861</v>
      </c>
      <c r="C2490" s="275"/>
      <c r="D2490" s="276"/>
      <c r="E2490" s="5"/>
      <c r="F2490" s="277">
        <f>SUM(F2491:F2495)</f>
        <v>9520.41511143604</v>
      </c>
      <c r="G2490" s="5" t="s">
        <v>121</v>
      </c>
      <c r="H2490" s="5" t="s">
        <v>861</v>
      </c>
      <c r="I2490" s="275"/>
      <c r="J2490" s="276"/>
      <c r="K2490" s="5"/>
      <c r="L2490" s="277">
        <f>SUM(L2491:L2495)</f>
        <v>14375.9313466043</v>
      </c>
    </row>
    <row r="2491" ht="15.6" customHeight="1" spans="1:12">
      <c r="A2491" s="7"/>
      <c r="B2491" s="7"/>
      <c r="C2491" s="7"/>
      <c r="D2491" s="34"/>
      <c r="E2491" s="34"/>
      <c r="F2491" s="69"/>
      <c r="G2491" s="7"/>
      <c r="H2491" s="7"/>
      <c r="I2491" s="7"/>
      <c r="J2491" s="34"/>
      <c r="K2491" s="34"/>
      <c r="L2491" s="69"/>
    </row>
    <row r="2492" ht="15.6" customHeight="1" spans="1:12">
      <c r="A2492" s="7"/>
      <c r="B2492" s="7" t="s">
        <v>979</v>
      </c>
      <c r="C2492" s="7" t="s">
        <v>200</v>
      </c>
      <c r="D2492" s="34">
        <f>材料预算价!K5-材料预算价!L5</f>
        <v>141.58936</v>
      </c>
      <c r="E2492" s="34">
        <f>E2472*配合比!E10</f>
        <v>35.035759</v>
      </c>
      <c r="F2492" s="69">
        <f>D2492*E2492</f>
        <v>4960.69069392424</v>
      </c>
      <c r="G2492" s="7"/>
      <c r="H2492" s="7" t="s">
        <v>983</v>
      </c>
      <c r="I2492" s="7" t="s">
        <v>200</v>
      </c>
      <c r="J2492" s="34">
        <f t="shared" ref="J2492:K2494" si="181">J2448</f>
        <v>265.23946</v>
      </c>
      <c r="K2492" s="34">
        <f t="shared" si="181"/>
        <v>37.58161</v>
      </c>
      <c r="L2492" s="69">
        <f t="shared" ref="L2492:L2495" si="182">J2492*K2492</f>
        <v>9968.1259423306</v>
      </c>
    </row>
    <row r="2493" ht="15.6" customHeight="1" spans="1:12">
      <c r="A2493" s="7"/>
      <c r="B2493" s="7" t="s">
        <v>961</v>
      </c>
      <c r="C2493" s="7" t="s">
        <v>169</v>
      </c>
      <c r="D2493" s="34">
        <f>D2449</f>
        <v>34.366056</v>
      </c>
      <c r="E2493" s="34">
        <f>E2472*配合比!G10</f>
        <v>54.40666</v>
      </c>
      <c r="F2493" s="69">
        <f>D2493*E2493</f>
        <v>1869.74232433296</v>
      </c>
      <c r="G2493" s="7"/>
      <c r="H2493" s="7" t="s">
        <v>961</v>
      </c>
      <c r="I2493" s="7" t="s">
        <v>169</v>
      </c>
      <c r="J2493" s="34">
        <f t="shared" si="181"/>
        <v>34.366056</v>
      </c>
      <c r="K2493" s="34">
        <f t="shared" si="181"/>
        <v>52.18598</v>
      </c>
      <c r="L2493" s="69">
        <f t="shared" si="182"/>
        <v>1793.42631109488</v>
      </c>
    </row>
    <row r="2494" ht="15.6" customHeight="1" spans="1:12">
      <c r="A2494" s="7"/>
      <c r="B2494" s="7" t="s">
        <v>1012</v>
      </c>
      <c r="C2494" s="7" t="s">
        <v>169</v>
      </c>
      <c r="D2494" s="34">
        <f>D2450</f>
        <v>29.13701</v>
      </c>
      <c r="E2494" s="34">
        <f>E2472*配合比!I10</f>
        <v>86.667084</v>
      </c>
      <c r="F2494" s="69">
        <f>D2494*E2494</f>
        <v>2525.21969317884</v>
      </c>
      <c r="G2494" s="7"/>
      <c r="H2494" s="7" t="s">
        <v>1012</v>
      </c>
      <c r="I2494" s="7" t="s">
        <v>169</v>
      </c>
      <c r="J2494" s="34">
        <f t="shared" si="181"/>
        <v>29.13701</v>
      </c>
      <c r="K2494" s="34">
        <f t="shared" si="181"/>
        <v>86.667084</v>
      </c>
      <c r="L2494" s="69">
        <f t="shared" si="182"/>
        <v>2525.21969317884</v>
      </c>
    </row>
    <row r="2495" ht="15.6" customHeight="1" spans="1:12">
      <c r="A2495" s="7"/>
      <c r="B2495" s="7" t="s">
        <v>1014</v>
      </c>
      <c r="C2495" s="7" t="s">
        <v>863</v>
      </c>
      <c r="D2495" s="34">
        <f>D2451</f>
        <v>5.925</v>
      </c>
      <c r="E2495" s="34">
        <f>E2480*7.2+新定额单价!E2481*台时!F76</f>
        <v>27.808</v>
      </c>
      <c r="F2495" s="69">
        <f>D2495*E2495</f>
        <v>164.7624</v>
      </c>
      <c r="G2495" s="7"/>
      <c r="H2495" s="7" t="s">
        <v>1014</v>
      </c>
      <c r="I2495" s="7" t="s">
        <v>863</v>
      </c>
      <c r="J2495" s="34">
        <f>J2451</f>
        <v>5.925</v>
      </c>
      <c r="K2495" s="34">
        <f>K2480*7.2+新定额单价!K2481*台时!L76</f>
        <v>15.048</v>
      </c>
      <c r="L2495" s="69">
        <f t="shared" si="182"/>
        <v>89.1594</v>
      </c>
    </row>
    <row r="2496" ht="15.6" customHeight="1" spans="1:12">
      <c r="A2496" s="7" t="s">
        <v>135</v>
      </c>
      <c r="B2496" s="7" t="s">
        <v>849</v>
      </c>
      <c r="C2496" s="231">
        <f>C2452</f>
        <v>0.09</v>
      </c>
      <c r="D2496" s="34"/>
      <c r="E2496" s="34">
        <f>F2490+F2489+F2488+F2460</f>
        <v>54428.3731939328</v>
      </c>
      <c r="F2496" s="34">
        <f>E2496*C2496</f>
        <v>4898.55358745396</v>
      </c>
      <c r="G2496" s="7" t="s">
        <v>135</v>
      </c>
      <c r="H2496" s="7" t="s">
        <v>849</v>
      </c>
      <c r="I2496" s="231">
        <f>I2452</f>
        <v>0.09</v>
      </c>
      <c r="J2496" s="34"/>
      <c r="K2496" s="34">
        <f>L2490+L2489+L2488+L2460</f>
        <v>59882.2354388294</v>
      </c>
      <c r="L2496" s="34">
        <f>K2496*I2496</f>
        <v>5389.40118949464</v>
      </c>
    </row>
    <row r="2497" ht="15.6" customHeight="1" spans="1:12">
      <c r="A2497" s="7"/>
      <c r="B2497" s="7" t="s">
        <v>850</v>
      </c>
      <c r="C2497" s="231"/>
      <c r="D2497" s="34"/>
      <c r="E2497" s="34"/>
      <c r="F2497" s="34">
        <f>(F2460+F2488+F2489+F2490+F2496)*取费表!H4</f>
        <v>1779.8078034416</v>
      </c>
      <c r="G2497" s="7"/>
      <c r="H2497" s="7" t="s">
        <v>850</v>
      </c>
      <c r="I2497" s="231"/>
      <c r="J2497" s="34"/>
      <c r="K2497" s="34"/>
      <c r="L2497" s="34">
        <f>(L2460+L2488+L2489+L2490+L2496)*取费表!H7</f>
        <v>1958.14909884972</v>
      </c>
    </row>
    <row r="2498" ht="15.6" customHeight="1" spans="1:12">
      <c r="A2498" s="7"/>
      <c r="B2498" s="7" t="s">
        <v>156</v>
      </c>
      <c r="C2498" s="7"/>
      <c r="D2498" s="34"/>
      <c r="E2498" s="34"/>
      <c r="F2498" s="34">
        <f>F2496+E2496+F2497</f>
        <v>61106.7345848284</v>
      </c>
      <c r="G2498" s="7"/>
      <c r="H2498" s="7" t="s">
        <v>156</v>
      </c>
      <c r="I2498" s="7"/>
      <c r="J2498" s="34"/>
      <c r="K2498" s="34"/>
      <c r="L2498" s="34">
        <f>L2496+K2496+L2497</f>
        <v>67229.7857271737</v>
      </c>
    </row>
    <row r="2499" ht="14.45" hidden="1" customHeight="1" spans="1:6">
      <c r="A2499" s="287" t="s">
        <v>881</v>
      </c>
      <c r="B2499" s="288"/>
      <c r="C2499" s="288"/>
      <c r="D2499" s="288"/>
      <c r="E2499" s="288"/>
      <c r="F2499" s="288"/>
    </row>
    <row r="2500" ht="14.45" hidden="1" customHeight="1" spans="1:6">
      <c r="A2500" s="289" t="s">
        <v>1092</v>
      </c>
      <c r="B2500" s="290"/>
      <c r="C2500" s="290"/>
      <c r="D2500" s="290"/>
      <c r="E2500" s="290"/>
      <c r="F2500" s="290"/>
    </row>
    <row r="2501" ht="14.45" hidden="1" customHeight="1" spans="1:6">
      <c r="A2501" s="291" t="s">
        <v>1093</v>
      </c>
      <c r="B2501" s="292"/>
      <c r="C2501" s="290"/>
      <c r="D2501" s="290"/>
      <c r="E2501" s="292" t="s">
        <v>832</v>
      </c>
      <c r="F2501" s="292"/>
    </row>
    <row r="2502" ht="14.45" hidden="1" customHeight="1" spans="1:6">
      <c r="A2502" s="146" t="s">
        <v>911</v>
      </c>
      <c r="B2502" s="233" t="s">
        <v>1094</v>
      </c>
      <c r="C2502" s="233"/>
      <c r="D2502" s="233"/>
      <c r="E2502" s="233"/>
      <c r="F2502" s="147"/>
    </row>
    <row r="2503" ht="14.45" hidden="1" customHeight="1" spans="1:6">
      <c r="A2503" s="7" t="s">
        <v>104</v>
      </c>
      <c r="B2503" s="7" t="s">
        <v>835</v>
      </c>
      <c r="C2503" s="7" t="s">
        <v>159</v>
      </c>
      <c r="D2503" s="7" t="s">
        <v>422</v>
      </c>
      <c r="E2503" s="7" t="s">
        <v>160</v>
      </c>
      <c r="F2503" s="7" t="s">
        <v>18</v>
      </c>
    </row>
    <row r="2504" ht="14.45" hidden="1" customHeight="1" spans="1:6">
      <c r="A2504" s="7" t="s">
        <v>836</v>
      </c>
      <c r="B2504" s="7" t="s">
        <v>837</v>
      </c>
      <c r="C2504" s="7"/>
      <c r="D2504" s="7"/>
      <c r="E2504" s="7"/>
      <c r="F2504" s="34">
        <f>F2505+F2531+F2532</f>
        <v>60119.6728709315</v>
      </c>
    </row>
    <row r="2505" ht="14.45" hidden="1" customHeight="1" spans="1:6">
      <c r="A2505" s="7" t="s">
        <v>539</v>
      </c>
      <c r="B2505" s="7" t="s">
        <v>838</v>
      </c>
      <c r="C2505" s="7"/>
      <c r="D2505" s="7"/>
      <c r="E2505" s="7"/>
      <c r="F2505" s="34">
        <f>F2506+F2509+F2519+F2528</f>
        <v>57366.1000676827</v>
      </c>
    </row>
    <row r="2506" ht="14.45" hidden="1" customHeight="1" spans="1:6">
      <c r="A2506" s="7">
        <v>1</v>
      </c>
      <c r="B2506" s="7" t="s">
        <v>839</v>
      </c>
      <c r="C2506" s="7" t="s">
        <v>840</v>
      </c>
      <c r="D2506" s="34"/>
      <c r="E2506" s="69">
        <f>SUM(E2507:E2508)</f>
        <v>3052.7</v>
      </c>
      <c r="F2506" s="69">
        <f>SUM(F2507:F2508)</f>
        <v>23443.04</v>
      </c>
    </row>
    <row r="2507" ht="14.45" hidden="1" customHeight="1" spans="1:6">
      <c r="A2507" s="7"/>
      <c r="B2507" s="7" t="s">
        <v>841</v>
      </c>
      <c r="C2507" s="7" t="s">
        <v>840</v>
      </c>
      <c r="D2507" s="69">
        <f>D2331</f>
        <v>8.1</v>
      </c>
      <c r="E2507" s="42">
        <v>2501.7</v>
      </c>
      <c r="F2507" s="69">
        <f>D2507*E2507</f>
        <v>20263.77</v>
      </c>
    </row>
    <row r="2508" ht="14.45" hidden="1" customHeight="1" spans="1:6">
      <c r="A2508" s="7"/>
      <c r="B2508" s="7" t="s">
        <v>842</v>
      </c>
      <c r="C2508" s="7" t="s">
        <v>840</v>
      </c>
      <c r="D2508" s="69">
        <f>D2332</f>
        <v>5.77</v>
      </c>
      <c r="E2508" s="42">
        <v>551</v>
      </c>
      <c r="F2508" s="69">
        <f>D2508*E2508</f>
        <v>3179.27</v>
      </c>
    </row>
    <row r="2509" ht="14.45" hidden="1" customHeight="1" spans="1:6">
      <c r="A2509" s="7">
        <v>2</v>
      </c>
      <c r="B2509" s="7" t="s">
        <v>912</v>
      </c>
      <c r="C2509" s="7"/>
      <c r="D2509" s="34"/>
      <c r="E2509" s="34"/>
      <c r="F2509" s="34">
        <f>SUM(F2510:F2518)</f>
        <v>30907.9004035</v>
      </c>
    </row>
    <row r="2510" ht="14.45" hidden="1" customHeight="1" spans="1:6">
      <c r="A2510" s="7"/>
      <c r="B2510" s="273" t="s">
        <v>996</v>
      </c>
      <c r="C2510" s="273" t="s">
        <v>169</v>
      </c>
      <c r="D2510" s="34">
        <f>基础材料表!D15</f>
        <v>1150</v>
      </c>
      <c r="E2510" s="34">
        <v>6.17</v>
      </c>
      <c r="F2510" s="34">
        <f t="shared" ref="F2510:F2517" si="183">D2510*E2510</f>
        <v>7095.5</v>
      </c>
    </row>
    <row r="2511" ht="14.45" hidden="1" customHeight="1" spans="1:6">
      <c r="A2511" s="7"/>
      <c r="B2511" s="273" t="s">
        <v>1066</v>
      </c>
      <c r="C2511" s="273" t="s">
        <v>863</v>
      </c>
      <c r="D2511" s="34">
        <f>基础材料表!D34</f>
        <v>4.44</v>
      </c>
      <c r="E2511" s="34">
        <v>60</v>
      </c>
      <c r="F2511" s="34">
        <f t="shared" si="183"/>
        <v>266.4</v>
      </c>
    </row>
    <row r="2512" ht="14.45" hidden="1" customHeight="1" spans="1:6">
      <c r="A2512" s="7"/>
      <c r="B2512" s="273" t="s">
        <v>998</v>
      </c>
      <c r="C2512" s="273" t="s">
        <v>863</v>
      </c>
      <c r="D2512" s="34">
        <f>基础材料表!D30</f>
        <v>4.5</v>
      </c>
      <c r="E2512" s="34">
        <v>60.8</v>
      </c>
      <c r="F2512" s="34">
        <f t="shared" si="183"/>
        <v>273.6</v>
      </c>
    </row>
    <row r="2513" ht="14.45" hidden="1" customHeight="1" spans="1:6">
      <c r="A2513" s="7"/>
      <c r="B2513" s="273" t="s">
        <v>1000</v>
      </c>
      <c r="C2513" s="273" t="s">
        <v>863</v>
      </c>
      <c r="D2513" s="34">
        <f>基础材料表!D28</f>
        <v>4.5</v>
      </c>
      <c r="E2513" s="34">
        <v>276</v>
      </c>
      <c r="F2513" s="34">
        <f t="shared" si="183"/>
        <v>1242</v>
      </c>
    </row>
    <row r="2514" ht="14.45" hidden="1" customHeight="1" spans="1:6">
      <c r="A2514" s="7"/>
      <c r="B2514" s="273" t="s">
        <v>1001</v>
      </c>
      <c r="C2514" s="273" t="s">
        <v>863</v>
      </c>
      <c r="D2514" s="34">
        <f>基础材料表!D32</f>
        <v>6.39</v>
      </c>
      <c r="E2514" s="34">
        <v>302.4</v>
      </c>
      <c r="F2514" s="34">
        <f t="shared" si="183"/>
        <v>1932.336</v>
      </c>
    </row>
    <row r="2515" ht="14.45" hidden="1" customHeight="1" spans="1:6">
      <c r="A2515" s="7"/>
      <c r="B2515" s="273" t="s">
        <v>1002</v>
      </c>
      <c r="C2515" s="273" t="s">
        <v>863</v>
      </c>
      <c r="D2515" s="34">
        <f>基础材料表!D5</f>
        <v>5.97</v>
      </c>
      <c r="E2515" s="34">
        <v>5.8</v>
      </c>
      <c r="F2515" s="34">
        <f t="shared" si="183"/>
        <v>34.626</v>
      </c>
    </row>
    <row r="2516" ht="14.45" hidden="1" customHeight="1" spans="1:6">
      <c r="A2516" s="7"/>
      <c r="B2516" s="7" t="s">
        <v>1025</v>
      </c>
      <c r="C2516" s="7" t="s">
        <v>169</v>
      </c>
      <c r="D2516" s="34">
        <f>配合比!M11</f>
        <v>188.0418245</v>
      </c>
      <c r="E2516" s="34">
        <v>103</v>
      </c>
      <c r="F2516" s="34">
        <f t="shared" si="183"/>
        <v>19368.3079235</v>
      </c>
    </row>
    <row r="2517" ht="14.45" hidden="1" customHeight="1" spans="1:6">
      <c r="A2517" s="7"/>
      <c r="B2517" s="7" t="s">
        <v>913</v>
      </c>
      <c r="C2517" s="7" t="s">
        <v>169</v>
      </c>
      <c r="D2517" s="34">
        <f>材料预算价!K13</f>
        <v>3.59</v>
      </c>
      <c r="E2517" s="34">
        <v>70</v>
      </c>
      <c r="F2517" s="34">
        <f t="shared" si="183"/>
        <v>251.3</v>
      </c>
    </row>
    <row r="2518" ht="14.45" hidden="1" customHeight="1" spans="1:6">
      <c r="A2518" s="7"/>
      <c r="B2518" s="7" t="s">
        <v>1004</v>
      </c>
      <c r="C2518" s="9" t="s">
        <v>845</v>
      </c>
      <c r="D2518" s="34">
        <f>F2510+F2511+F2512+F2513+F2514+F2515+F2517</f>
        <v>11095.762</v>
      </c>
      <c r="E2518" s="34">
        <v>4</v>
      </c>
      <c r="F2518" s="34">
        <f>D2518*E2518/100</f>
        <v>443.83048</v>
      </c>
    </row>
    <row r="2519" ht="14.45" hidden="1" customHeight="1" spans="1:6">
      <c r="A2519" s="7">
        <v>3</v>
      </c>
      <c r="B2519" s="7" t="s">
        <v>859</v>
      </c>
      <c r="C2519" s="7"/>
      <c r="D2519" s="34"/>
      <c r="E2519" s="34"/>
      <c r="F2519" s="34">
        <f>SUM(F2520:F2527)</f>
        <v>1023.50347279458</v>
      </c>
    </row>
    <row r="2520" ht="14.45" hidden="1" customHeight="1" spans="1:6">
      <c r="A2520" s="7"/>
      <c r="B2520" s="7" t="s">
        <v>1009</v>
      </c>
      <c r="C2520" s="7" t="s">
        <v>428</v>
      </c>
      <c r="D2520" s="34">
        <f>D2344</f>
        <v>1.82152692461109</v>
      </c>
      <c r="E2520" s="34">
        <v>38.88</v>
      </c>
      <c r="F2520" s="34">
        <f t="shared" ref="F2520:F2526" si="184">D2520*E2520</f>
        <v>70.8209668288792</v>
      </c>
    </row>
    <row r="2521" ht="14.45" hidden="1" customHeight="1" spans="1:6">
      <c r="A2521" s="7"/>
      <c r="B2521" s="279" t="s">
        <v>1079</v>
      </c>
      <c r="C2521" s="7" t="s">
        <v>428</v>
      </c>
      <c r="D2521" s="34">
        <f>D2345</f>
        <v>23.9179521340247</v>
      </c>
      <c r="E2521" s="34">
        <v>18.54</v>
      </c>
      <c r="F2521" s="34">
        <f t="shared" si="184"/>
        <v>443.438832564818</v>
      </c>
    </row>
    <row r="2522" ht="14.45" hidden="1" customHeight="1" spans="1:6">
      <c r="A2522" s="7"/>
      <c r="B2522" s="279" t="s">
        <v>1095</v>
      </c>
      <c r="C2522" s="7" t="s">
        <v>428</v>
      </c>
      <c r="D2522" s="34">
        <f>台时!G42</f>
        <v>37.5880167530913</v>
      </c>
      <c r="E2522" s="251">
        <v>4</v>
      </c>
      <c r="F2522" s="34">
        <f t="shared" si="184"/>
        <v>150.352067012365</v>
      </c>
    </row>
    <row r="2523" ht="14.45" hidden="1" customHeight="1" spans="1:6">
      <c r="A2523" s="7"/>
      <c r="B2523" s="7" t="s">
        <v>967</v>
      </c>
      <c r="C2523" s="7" t="s">
        <v>428</v>
      </c>
      <c r="D2523" s="34">
        <f>D2346</f>
        <v>0.813242919824491</v>
      </c>
      <c r="E2523" s="251">
        <v>86.4</v>
      </c>
      <c r="F2523" s="34">
        <f t="shared" si="184"/>
        <v>70.2641882728361</v>
      </c>
    </row>
    <row r="2524" ht="14.45" hidden="1" customHeight="1" spans="1:6">
      <c r="A2524" s="7"/>
      <c r="B2524" s="7" t="s">
        <v>1005</v>
      </c>
      <c r="C2524" s="7" t="s">
        <v>428</v>
      </c>
      <c r="D2524" s="34">
        <f>D2347</f>
        <v>49.389824491424</v>
      </c>
      <c r="E2524" s="251">
        <v>0.96</v>
      </c>
      <c r="F2524" s="34">
        <f t="shared" si="184"/>
        <v>47.4142315117671</v>
      </c>
    </row>
    <row r="2525" ht="14.45" hidden="1" customHeight="1" spans="1:6">
      <c r="A2525" s="7"/>
      <c r="B2525" s="273" t="s">
        <v>1088</v>
      </c>
      <c r="C2525" s="7" t="s">
        <v>428</v>
      </c>
      <c r="D2525" s="34">
        <f>台时!F84</f>
        <v>62.3342780215397</v>
      </c>
      <c r="E2525" s="251">
        <v>0.36</v>
      </c>
      <c r="F2525" s="34">
        <f t="shared" si="184"/>
        <v>22.4403400877543</v>
      </c>
    </row>
    <row r="2526" ht="14.45" hidden="1" customHeight="1" spans="1:6">
      <c r="A2526" s="7"/>
      <c r="B2526" s="273" t="s">
        <v>1080</v>
      </c>
      <c r="C2526" s="7" t="s">
        <v>428</v>
      </c>
      <c r="D2526" s="34">
        <f>D2348</f>
        <v>8.3371858795373</v>
      </c>
      <c r="E2526" s="251">
        <v>5.78</v>
      </c>
      <c r="F2526" s="34">
        <f t="shared" si="184"/>
        <v>48.1889343837256</v>
      </c>
    </row>
    <row r="2527" ht="14.45" hidden="1" customHeight="1" spans="1:6">
      <c r="A2527" s="7"/>
      <c r="B2527" s="7" t="s">
        <v>918</v>
      </c>
      <c r="C2527" s="9" t="s">
        <v>845</v>
      </c>
      <c r="D2527" s="34">
        <f>SUM(F2520:F2526)</f>
        <v>852.919560662146</v>
      </c>
      <c r="E2527" s="34">
        <v>20</v>
      </c>
      <c r="F2527" s="34">
        <f>D2527*E2527/100</f>
        <v>170.583912132429</v>
      </c>
    </row>
    <row r="2528" ht="14.45" hidden="1" customHeight="1" spans="1:6">
      <c r="A2528" s="7">
        <v>4</v>
      </c>
      <c r="B2528" s="7" t="s">
        <v>1010</v>
      </c>
      <c r="C2528" s="9"/>
      <c r="D2528" s="34"/>
      <c r="E2528" s="34"/>
      <c r="F2528" s="34">
        <f>SUM(F2529:F2530)</f>
        <v>1991.65619138815</v>
      </c>
    </row>
    <row r="2529" ht="14.45" hidden="1" customHeight="1" spans="1:6">
      <c r="A2529" s="7"/>
      <c r="B2529" s="123" t="s">
        <v>681</v>
      </c>
      <c r="C2529" s="123" t="s">
        <v>169</v>
      </c>
      <c r="D2529" s="274">
        <f>$F$2795/100</f>
        <v>5.03319379720782</v>
      </c>
      <c r="E2529" s="274">
        <v>103</v>
      </c>
      <c r="F2529" s="34">
        <f>D2529*E2529</f>
        <v>518.418961112405</v>
      </c>
    </row>
    <row r="2530" ht="14.45" hidden="1" customHeight="1" spans="1:6">
      <c r="A2530" s="7"/>
      <c r="B2530" s="123" t="s">
        <v>682</v>
      </c>
      <c r="C2530" s="123" t="s">
        <v>169</v>
      </c>
      <c r="D2530" s="274">
        <f>$F$2813/100</f>
        <v>14.303274080347</v>
      </c>
      <c r="E2530" s="274">
        <v>103</v>
      </c>
      <c r="F2530" s="34">
        <f>D2530*E2530</f>
        <v>1473.23723027574</v>
      </c>
    </row>
    <row r="2531" ht="14.45" hidden="1" customHeight="1" spans="1:6">
      <c r="A2531" s="7" t="s">
        <v>564</v>
      </c>
      <c r="B2531" s="7" t="s">
        <v>846</v>
      </c>
      <c r="C2531" s="230">
        <f>取费表!$C$7</f>
        <v>0.048</v>
      </c>
      <c r="D2531" s="274"/>
      <c r="E2531" s="274">
        <f>F2505</f>
        <v>57366.1000676827</v>
      </c>
      <c r="F2531" s="34">
        <f>E2531*C2531</f>
        <v>2753.57280324877</v>
      </c>
    </row>
    <row r="2532" ht="14.45" hidden="1" customHeight="1" spans="1:6">
      <c r="A2532" s="7" t="s">
        <v>577</v>
      </c>
      <c r="B2532" s="7" t="s">
        <v>1096</v>
      </c>
      <c r="C2532" s="230">
        <f>取费表!$D$7</f>
        <v>0</v>
      </c>
      <c r="D2532" s="274"/>
      <c r="E2532" s="274">
        <f>E2531</f>
        <v>57366.1000676827</v>
      </c>
      <c r="F2532" s="34">
        <f>E2532*C2532</f>
        <v>0</v>
      </c>
    </row>
    <row r="2533" ht="14.45" hidden="1" customHeight="1" spans="1:6">
      <c r="A2533" s="7" t="s">
        <v>439</v>
      </c>
      <c r="B2533" s="7" t="s">
        <v>847</v>
      </c>
      <c r="C2533" s="230">
        <f>取费表!$E$7</f>
        <v>0.07</v>
      </c>
      <c r="D2533" s="274"/>
      <c r="E2533" s="274">
        <f>F2504</f>
        <v>60119.6728709315</v>
      </c>
      <c r="F2533" s="34">
        <f>E2533*C2533</f>
        <v>4208.37710096521</v>
      </c>
    </row>
    <row r="2534" ht="14.45" hidden="1" customHeight="1" spans="1:6">
      <c r="A2534" s="7" t="s">
        <v>83</v>
      </c>
      <c r="B2534" s="7" t="s">
        <v>848</v>
      </c>
      <c r="C2534" s="230">
        <f>取费表!$F$7</f>
        <v>0.07</v>
      </c>
      <c r="D2534" s="274"/>
      <c r="E2534" s="274">
        <f>F2533+F2504</f>
        <v>64328.0499718967</v>
      </c>
      <c r="F2534" s="34">
        <f>E2534*C2534</f>
        <v>4502.96349803277</v>
      </c>
    </row>
    <row r="2535" ht="14.45" hidden="1" customHeight="1" spans="1:6">
      <c r="A2535" s="7" t="s">
        <v>121</v>
      </c>
      <c r="B2535" s="7" t="s">
        <v>861</v>
      </c>
      <c r="C2535" s="9"/>
      <c r="D2535" s="34"/>
      <c r="E2535" s="7"/>
      <c r="F2535" s="69">
        <f>F2536+F2541</f>
        <v>53.325</v>
      </c>
    </row>
    <row r="2536" ht="14.45" hidden="1" customHeight="1" spans="1:6">
      <c r="A2536" s="7">
        <v>1</v>
      </c>
      <c r="B2536" s="7" t="s">
        <v>1011</v>
      </c>
      <c r="C2536" s="9"/>
      <c r="D2536" s="34"/>
      <c r="E2536" s="7"/>
      <c r="F2536" s="69">
        <f>SUM(F2537:F2540)</f>
        <v>0</v>
      </c>
    </row>
    <row r="2537" ht="14.45" hidden="1" customHeight="1" spans="1:6">
      <c r="A2537" s="7"/>
      <c r="B2537" s="7" t="s">
        <v>1097</v>
      </c>
      <c r="C2537" s="7" t="s">
        <v>169</v>
      </c>
      <c r="D2537" s="34">
        <f>D2359</f>
        <v>0</v>
      </c>
      <c r="E2537" s="34">
        <f>E2510</f>
        <v>6.17</v>
      </c>
      <c r="F2537" s="69">
        <f t="shared" ref="F2537:F2543" si="185">D2537*E2537</f>
        <v>0</v>
      </c>
    </row>
    <row r="2538" ht="14.45" hidden="1" customHeight="1" spans="1:6">
      <c r="A2538" s="7"/>
      <c r="B2538" s="7" t="s">
        <v>1098</v>
      </c>
      <c r="C2538" s="7" t="s">
        <v>169</v>
      </c>
      <c r="D2538" s="34"/>
      <c r="E2538" s="34">
        <f>E2516</f>
        <v>103</v>
      </c>
      <c r="F2538" s="69">
        <f t="shared" si="185"/>
        <v>0</v>
      </c>
    </row>
    <row r="2539" ht="14.45" hidden="1" customHeight="1" spans="1:6">
      <c r="A2539" s="7"/>
      <c r="B2539" s="7"/>
      <c r="C2539" s="7"/>
      <c r="D2539" s="34"/>
      <c r="E2539" s="34"/>
      <c r="F2539" s="69"/>
    </row>
    <row r="2540" ht="14.45" hidden="1" customHeight="1" spans="1:6">
      <c r="A2540" s="7"/>
      <c r="B2540" s="7"/>
      <c r="C2540" s="7"/>
      <c r="D2540" s="34"/>
      <c r="E2540" s="34"/>
      <c r="F2540" s="69"/>
    </row>
    <row r="2541" ht="14.45" hidden="1" customHeight="1" spans="1:6">
      <c r="A2541" s="7">
        <v>2</v>
      </c>
      <c r="B2541" s="7" t="s">
        <v>1013</v>
      </c>
      <c r="C2541" s="7"/>
      <c r="D2541" s="34"/>
      <c r="E2541" s="38"/>
      <c r="F2541" s="69">
        <f>SUM(F2542:F2543)</f>
        <v>53.325</v>
      </c>
    </row>
    <row r="2542" ht="14.45" hidden="1" customHeight="1" spans="1:6">
      <c r="A2542" s="7"/>
      <c r="B2542" s="7" t="s">
        <v>1014</v>
      </c>
      <c r="C2542" s="7" t="s">
        <v>863</v>
      </c>
      <c r="D2542" s="34">
        <f>D2364</f>
        <v>5.925</v>
      </c>
      <c r="E2542" s="38">
        <f>(E2524*7.2+E2525*台时!F76)</f>
        <v>9</v>
      </c>
      <c r="F2542" s="69">
        <f t="shared" si="185"/>
        <v>53.325</v>
      </c>
    </row>
    <row r="2543" ht="14.45" hidden="1" customHeight="1" spans="1:6">
      <c r="A2543" s="7"/>
      <c r="B2543" s="7" t="s">
        <v>862</v>
      </c>
      <c r="C2543" s="7" t="s">
        <v>863</v>
      </c>
      <c r="D2543" s="34">
        <f>D2365</f>
        <v>4.58</v>
      </c>
      <c r="E2543" s="38"/>
      <c r="F2543" s="69">
        <f t="shared" si="185"/>
        <v>0</v>
      </c>
    </row>
    <row r="2544" ht="14.45" hidden="1" customHeight="1" spans="1:6">
      <c r="A2544" s="7" t="s">
        <v>135</v>
      </c>
      <c r="B2544" s="7" t="s">
        <v>849</v>
      </c>
      <c r="C2544" s="231">
        <f>C2496</f>
        <v>0.09</v>
      </c>
      <c r="D2544" s="34"/>
      <c r="E2544" s="34">
        <f>F2535+F2534+F2533+F2504</f>
        <v>68884.3384699295</v>
      </c>
      <c r="F2544" s="34">
        <f>E2544*C2544</f>
        <v>6199.59046229365</v>
      </c>
    </row>
    <row r="2545" ht="14.45" hidden="1" customHeight="1" spans="1:6">
      <c r="A2545" s="7"/>
      <c r="B2545" s="7" t="s">
        <v>850</v>
      </c>
      <c r="C2545" s="231"/>
      <c r="D2545" s="34"/>
      <c r="E2545" s="34"/>
      <c r="F2545" s="34">
        <f>(F2504+F2533+F2534+F2535+F2544)*取费表!H4</f>
        <v>2252.51786796669</v>
      </c>
    </row>
    <row r="2546" ht="14.45" hidden="1" customHeight="1" spans="1:6">
      <c r="A2546" s="7"/>
      <c r="B2546" s="7" t="s">
        <v>156</v>
      </c>
      <c r="C2546" s="7"/>
      <c r="D2546" s="34"/>
      <c r="E2546" s="34"/>
      <c r="F2546" s="34">
        <f>F2544+E2544+F2545</f>
        <v>77336.4468001898</v>
      </c>
    </row>
    <row r="2547" ht="14.85" hidden="1" customHeight="1" spans="1:6">
      <c r="A2547" s="287" t="s">
        <v>881</v>
      </c>
      <c r="B2547" s="288"/>
      <c r="C2547" s="288"/>
      <c r="D2547" s="288"/>
      <c r="E2547" s="288"/>
      <c r="F2547" s="288"/>
    </row>
    <row r="2548" ht="14.85" hidden="1" customHeight="1" spans="1:6">
      <c r="A2548" s="289" t="s">
        <v>1099</v>
      </c>
      <c r="B2548" s="290"/>
      <c r="C2548" s="290"/>
      <c r="D2548" s="290"/>
      <c r="E2548" s="290"/>
      <c r="F2548" s="290"/>
    </row>
    <row r="2549" ht="14.85" hidden="1" customHeight="1" spans="1:6">
      <c r="A2549" s="291" t="s">
        <v>1093</v>
      </c>
      <c r="B2549" s="292"/>
      <c r="C2549" s="290"/>
      <c r="D2549" s="290"/>
      <c r="E2549" s="292" t="s">
        <v>832</v>
      </c>
      <c r="F2549" s="292"/>
    </row>
    <row r="2550" ht="14.85" hidden="1" customHeight="1" spans="1:6">
      <c r="A2550" s="293" t="s">
        <v>911</v>
      </c>
      <c r="B2550" s="294" t="s">
        <v>1094</v>
      </c>
      <c r="C2550" s="294"/>
      <c r="D2550" s="294"/>
      <c r="E2550" s="294"/>
      <c r="F2550" s="295"/>
    </row>
    <row r="2551" ht="14.85" hidden="1" customHeight="1" spans="1:6">
      <c r="A2551" s="13" t="s">
        <v>104</v>
      </c>
      <c r="B2551" s="13" t="s">
        <v>835</v>
      </c>
      <c r="C2551" s="13" t="s">
        <v>159</v>
      </c>
      <c r="D2551" s="13" t="s">
        <v>422</v>
      </c>
      <c r="E2551" s="13" t="s">
        <v>160</v>
      </c>
      <c r="F2551" s="13" t="s">
        <v>18</v>
      </c>
    </row>
    <row r="2552" ht="14.85" hidden="1" customHeight="1" spans="1:6">
      <c r="A2552" s="7" t="s">
        <v>836</v>
      </c>
      <c r="B2552" s="7" t="s">
        <v>837</v>
      </c>
      <c r="C2552" s="7"/>
      <c r="D2552" s="7"/>
      <c r="E2552" s="7"/>
      <c r="F2552" s="34">
        <f>F2553+F2578+F2579</f>
        <v>36766.0266462866</v>
      </c>
    </row>
    <row r="2553" ht="14.85" hidden="1" customHeight="1" spans="1:6">
      <c r="A2553" s="7" t="s">
        <v>539</v>
      </c>
      <c r="B2553" s="7" t="s">
        <v>838</v>
      </c>
      <c r="C2553" s="7"/>
      <c r="D2553" s="7"/>
      <c r="E2553" s="7"/>
      <c r="F2553" s="34">
        <f>F2554+F2557+F2567+F2575</f>
        <v>35082.0864945483</v>
      </c>
    </row>
    <row r="2554" ht="14.85" hidden="1" customHeight="1" spans="1:6">
      <c r="A2554" s="7">
        <v>1</v>
      </c>
      <c r="B2554" s="7" t="s">
        <v>839</v>
      </c>
      <c r="C2554" s="7" t="s">
        <v>840</v>
      </c>
      <c r="D2554" s="34"/>
      <c r="E2554" s="69">
        <f>SUM(E2555:E2556)</f>
        <v>1593.2</v>
      </c>
      <c r="F2554" s="69">
        <f>SUM(F2555:F2556)</f>
        <v>12061.46</v>
      </c>
    </row>
    <row r="2555" ht="14.85" hidden="1" customHeight="1" spans="1:6">
      <c r="A2555" s="7"/>
      <c r="B2555" s="7" t="s">
        <v>841</v>
      </c>
      <c r="C2555" s="7" t="s">
        <v>840</v>
      </c>
      <c r="D2555" s="69">
        <f>D2507</f>
        <v>8.1</v>
      </c>
      <c r="E2555" s="42">
        <v>1231.2</v>
      </c>
      <c r="F2555" s="69">
        <f>D2555*E2555</f>
        <v>9972.72</v>
      </c>
    </row>
    <row r="2556" ht="14.85" hidden="1" customHeight="1" spans="1:6">
      <c r="A2556" s="7"/>
      <c r="B2556" s="7" t="s">
        <v>842</v>
      </c>
      <c r="C2556" s="7" t="s">
        <v>840</v>
      </c>
      <c r="D2556" s="69">
        <f>D2508</f>
        <v>5.77</v>
      </c>
      <c r="E2556" s="42">
        <v>362</v>
      </c>
      <c r="F2556" s="69">
        <f>D2556*E2556</f>
        <v>2088.74</v>
      </c>
    </row>
    <row r="2557" ht="14.85" hidden="1" customHeight="1" spans="1:6">
      <c r="A2557" s="7">
        <v>2</v>
      </c>
      <c r="B2557" s="7" t="s">
        <v>912</v>
      </c>
      <c r="C2557" s="7"/>
      <c r="D2557" s="34"/>
      <c r="E2557" s="34"/>
      <c r="F2557" s="34">
        <f>SUM(F2558:F2566)</f>
        <v>20343.8424835</v>
      </c>
    </row>
    <row r="2558" ht="14.85" hidden="1" customHeight="1" spans="1:6">
      <c r="A2558" s="7"/>
      <c r="B2558" s="273" t="s">
        <v>996</v>
      </c>
      <c r="C2558" s="273" t="s">
        <v>169</v>
      </c>
      <c r="D2558" s="34">
        <f t="shared" ref="D2558:D2565" si="186">D2510</f>
        <v>1150</v>
      </c>
      <c r="E2558" s="34">
        <v>0.14</v>
      </c>
      <c r="F2558" s="34">
        <f t="shared" ref="F2558:F2565" si="187">D2558*E2558</f>
        <v>161</v>
      </c>
    </row>
    <row r="2559" ht="14.85" hidden="1" customHeight="1" spans="1:6">
      <c r="A2559" s="7"/>
      <c r="B2559" s="273" t="s">
        <v>1066</v>
      </c>
      <c r="C2559" s="273" t="s">
        <v>863</v>
      </c>
      <c r="D2559" s="34">
        <f t="shared" si="186"/>
        <v>4.44</v>
      </c>
      <c r="E2559" s="34">
        <v>13.1</v>
      </c>
      <c r="F2559" s="34">
        <f t="shared" si="187"/>
        <v>58.164</v>
      </c>
    </row>
    <row r="2560" ht="14.85" hidden="1" customHeight="1" spans="1:6">
      <c r="A2560" s="7"/>
      <c r="B2560" s="273" t="s">
        <v>998</v>
      </c>
      <c r="C2560" s="273" t="s">
        <v>863</v>
      </c>
      <c r="D2560" s="34">
        <f t="shared" si="186"/>
        <v>4.5</v>
      </c>
      <c r="E2560" s="34">
        <v>13.2</v>
      </c>
      <c r="F2560" s="34">
        <f t="shared" si="187"/>
        <v>59.4</v>
      </c>
    </row>
    <row r="2561" ht="14.85" hidden="1" customHeight="1" spans="1:6">
      <c r="A2561" s="7"/>
      <c r="B2561" s="273" t="s">
        <v>1000</v>
      </c>
      <c r="C2561" s="273" t="s">
        <v>863</v>
      </c>
      <c r="D2561" s="34">
        <f t="shared" si="186"/>
        <v>4.5</v>
      </c>
      <c r="E2561" s="34">
        <v>14.7</v>
      </c>
      <c r="F2561" s="34">
        <f t="shared" si="187"/>
        <v>66.15</v>
      </c>
    </row>
    <row r="2562" ht="14.85" hidden="1" customHeight="1" spans="1:6">
      <c r="A2562" s="7"/>
      <c r="B2562" s="273" t="s">
        <v>1001</v>
      </c>
      <c r="C2562" s="273" t="s">
        <v>863</v>
      </c>
      <c r="D2562" s="34">
        <f t="shared" si="186"/>
        <v>6.39</v>
      </c>
      <c r="E2562" s="34">
        <v>52.4</v>
      </c>
      <c r="F2562" s="34">
        <f t="shared" si="187"/>
        <v>334.836</v>
      </c>
    </row>
    <row r="2563" ht="14.85" hidden="1" customHeight="1" spans="1:6">
      <c r="A2563" s="7"/>
      <c r="B2563" s="273" t="s">
        <v>1002</v>
      </c>
      <c r="C2563" s="273" t="s">
        <v>863</v>
      </c>
      <c r="D2563" s="34">
        <f t="shared" si="186"/>
        <v>5.97</v>
      </c>
      <c r="E2563" s="34">
        <v>1.2</v>
      </c>
      <c r="F2563" s="34">
        <f t="shared" si="187"/>
        <v>7.164</v>
      </c>
    </row>
    <row r="2564" ht="14.85" hidden="1" customHeight="1" spans="1:6">
      <c r="A2564" s="7"/>
      <c r="B2564" s="7" t="s">
        <v>1025</v>
      </c>
      <c r="C2564" s="7" t="s">
        <v>169</v>
      </c>
      <c r="D2564" s="34">
        <f t="shared" si="186"/>
        <v>188.0418245</v>
      </c>
      <c r="E2564" s="34">
        <v>103</v>
      </c>
      <c r="F2564" s="34">
        <f t="shared" si="187"/>
        <v>19368.3079235</v>
      </c>
    </row>
    <row r="2565" ht="14.85" hidden="1" customHeight="1" spans="1:6">
      <c r="A2565" s="7"/>
      <c r="B2565" s="7" t="s">
        <v>913</v>
      </c>
      <c r="C2565" s="7" t="s">
        <v>169</v>
      </c>
      <c r="D2565" s="34">
        <f t="shared" si="186"/>
        <v>3.59</v>
      </c>
      <c r="E2565" s="34">
        <v>70</v>
      </c>
      <c r="F2565" s="34">
        <f t="shared" si="187"/>
        <v>251.3</v>
      </c>
    </row>
    <row r="2566" ht="14.85" hidden="1" customHeight="1" spans="1:6">
      <c r="A2566" s="7"/>
      <c r="B2566" s="7" t="s">
        <v>1004</v>
      </c>
      <c r="C2566" s="9" t="s">
        <v>845</v>
      </c>
      <c r="D2566" s="34">
        <f>F2558+F2559+F2560+F2561+F2562+F2563+F2565</f>
        <v>938.014</v>
      </c>
      <c r="E2566" s="34">
        <v>4</v>
      </c>
      <c r="F2566" s="34">
        <f>D2566*E2566/100</f>
        <v>37.52056</v>
      </c>
    </row>
    <row r="2567" ht="14.85" hidden="1" customHeight="1" spans="1:6">
      <c r="A2567" s="7">
        <v>3</v>
      </c>
      <c r="B2567" s="7" t="s">
        <v>859</v>
      </c>
      <c r="C2567" s="7"/>
      <c r="D2567" s="34"/>
      <c r="E2567" s="34"/>
      <c r="F2567" s="34">
        <f>SUM(F2568:F2574)</f>
        <v>685.127819660151</v>
      </c>
    </row>
    <row r="2568" ht="14.85" hidden="1" customHeight="1" spans="1:6">
      <c r="A2568" s="7"/>
      <c r="B2568" s="7" t="s">
        <v>1009</v>
      </c>
      <c r="C2568" s="7" t="s">
        <v>428</v>
      </c>
      <c r="D2568" s="34">
        <f>D2520</f>
        <v>1.82152692461109</v>
      </c>
      <c r="E2568" s="34">
        <v>23</v>
      </c>
      <c r="F2568" s="34">
        <f t="shared" ref="F2568:F2573" si="188">D2568*E2568</f>
        <v>41.895119266055</v>
      </c>
    </row>
    <row r="2569" ht="14.85" hidden="1" customHeight="1" spans="1:6">
      <c r="A2569" s="7"/>
      <c r="B2569" s="279" t="s">
        <v>1079</v>
      </c>
      <c r="C2569" s="7" t="s">
        <v>428</v>
      </c>
      <c r="D2569" s="34">
        <f>D2521</f>
        <v>23.9179521340247</v>
      </c>
      <c r="E2569" s="34">
        <v>18.54</v>
      </c>
      <c r="F2569" s="34">
        <f t="shared" si="188"/>
        <v>443.438832564818</v>
      </c>
    </row>
    <row r="2570" ht="14.85" hidden="1" customHeight="1" spans="1:6">
      <c r="A2570" s="7"/>
      <c r="B2570" s="7" t="s">
        <v>967</v>
      </c>
      <c r="C2570" s="7" t="s">
        <v>428</v>
      </c>
      <c r="D2570" s="34">
        <f>D2523</f>
        <v>0.813242919824491</v>
      </c>
      <c r="E2570" s="251">
        <v>75.2</v>
      </c>
      <c r="F2570" s="34">
        <f t="shared" si="188"/>
        <v>61.1558675708018</v>
      </c>
    </row>
    <row r="2571" ht="14.85" hidden="1" customHeight="1" spans="1:6">
      <c r="A2571" s="7"/>
      <c r="B2571" s="7" t="s">
        <v>1005</v>
      </c>
      <c r="C2571" s="7" t="s">
        <v>428</v>
      </c>
      <c r="D2571" s="34">
        <f>D2524</f>
        <v>49.389824491424</v>
      </c>
      <c r="E2571" s="251">
        <v>0.21</v>
      </c>
      <c r="F2571" s="34">
        <f t="shared" si="188"/>
        <v>10.371863143199</v>
      </c>
    </row>
    <row r="2572" ht="14.85" hidden="1" customHeight="1" spans="1:6">
      <c r="A2572" s="7"/>
      <c r="B2572" s="273" t="s">
        <v>1088</v>
      </c>
      <c r="C2572" s="7" t="s">
        <v>428</v>
      </c>
      <c r="D2572" s="34">
        <f>D2525</f>
        <v>62.3342780215397</v>
      </c>
      <c r="E2572" s="251">
        <v>0.06</v>
      </c>
      <c r="F2572" s="34">
        <f t="shared" si="188"/>
        <v>3.74005668129238</v>
      </c>
    </row>
    <row r="2573" ht="14.85" hidden="1" customHeight="1" spans="1:6">
      <c r="A2573" s="7"/>
      <c r="B2573" s="273" t="s">
        <v>1080</v>
      </c>
      <c r="C2573" s="7" t="s">
        <v>428</v>
      </c>
      <c r="D2573" s="34">
        <f>D2526</f>
        <v>8.3371858795373</v>
      </c>
      <c r="E2573" s="251">
        <v>1.24</v>
      </c>
      <c r="F2573" s="34">
        <f t="shared" si="188"/>
        <v>10.3381104906262</v>
      </c>
    </row>
    <row r="2574" ht="14.85" hidden="1" customHeight="1" spans="1:6">
      <c r="A2574" s="7"/>
      <c r="B2574" s="7" t="s">
        <v>918</v>
      </c>
      <c r="C2574" s="9" t="s">
        <v>845</v>
      </c>
      <c r="D2574" s="34">
        <f>SUM(F2568:F2573)</f>
        <v>570.939849716793</v>
      </c>
      <c r="E2574" s="34">
        <v>20</v>
      </c>
      <c r="F2574" s="34">
        <f>D2574*E2574/100</f>
        <v>114.187969943359</v>
      </c>
    </row>
    <row r="2575" ht="14.85" hidden="1" customHeight="1" spans="1:6">
      <c r="A2575" s="5">
        <v>4</v>
      </c>
      <c r="B2575" s="5" t="s">
        <v>1010</v>
      </c>
      <c r="C2575" s="275"/>
      <c r="D2575" s="276"/>
      <c r="E2575" s="276"/>
      <c r="F2575" s="276">
        <f>SUM(F2576:F2577)</f>
        <v>1991.65619138815</v>
      </c>
    </row>
    <row r="2576" ht="14.85" hidden="1" customHeight="1" spans="1:6">
      <c r="A2576" s="7"/>
      <c r="B2576" s="123" t="s">
        <v>681</v>
      </c>
      <c r="C2576" s="123" t="s">
        <v>169</v>
      </c>
      <c r="D2576" s="274">
        <f>$F$2795/100</f>
        <v>5.03319379720782</v>
      </c>
      <c r="E2576" s="274">
        <v>103</v>
      </c>
      <c r="F2576" s="34">
        <f>D2576*E2576</f>
        <v>518.418961112405</v>
      </c>
    </row>
    <row r="2577" ht="14.85" hidden="1" customHeight="1" spans="1:6">
      <c r="A2577" s="7"/>
      <c r="B2577" s="123" t="s">
        <v>682</v>
      </c>
      <c r="C2577" s="123" t="s">
        <v>169</v>
      </c>
      <c r="D2577" s="274">
        <f>$F$2813/100</f>
        <v>14.303274080347</v>
      </c>
      <c r="E2577" s="274">
        <v>103</v>
      </c>
      <c r="F2577" s="34">
        <f>D2577*E2577</f>
        <v>1473.23723027574</v>
      </c>
    </row>
    <row r="2578" ht="14.85" hidden="1" customHeight="1" spans="1:6">
      <c r="A2578" s="7" t="s">
        <v>564</v>
      </c>
      <c r="B2578" s="7" t="s">
        <v>846</v>
      </c>
      <c r="C2578" s="230">
        <f>取费表!$C$7</f>
        <v>0.048</v>
      </c>
      <c r="D2578" s="274"/>
      <c r="E2578" s="274">
        <f>F2553</f>
        <v>35082.0864945483</v>
      </c>
      <c r="F2578" s="34">
        <f>E2578*C2578</f>
        <v>1683.94015173832</v>
      </c>
    </row>
    <row r="2579" ht="14.85" hidden="1" customHeight="1" spans="1:6">
      <c r="A2579" s="7" t="s">
        <v>577</v>
      </c>
      <c r="B2579" s="7" t="s">
        <v>1096</v>
      </c>
      <c r="C2579" s="230">
        <f>取费表!$D$7</f>
        <v>0</v>
      </c>
      <c r="D2579" s="274"/>
      <c r="E2579" s="274">
        <f>E2578</f>
        <v>35082.0864945483</v>
      </c>
      <c r="F2579" s="34">
        <f>E2579*C2579</f>
        <v>0</v>
      </c>
    </row>
    <row r="2580" ht="14.85" hidden="1" customHeight="1" spans="1:6">
      <c r="A2580" s="7" t="s">
        <v>439</v>
      </c>
      <c r="B2580" s="7" t="s">
        <v>847</v>
      </c>
      <c r="C2580" s="230">
        <f>取费表!$E$7</f>
        <v>0.07</v>
      </c>
      <c r="D2580" s="274"/>
      <c r="E2580" s="274">
        <f>F2552</f>
        <v>36766.0266462866</v>
      </c>
      <c r="F2580" s="34">
        <f>E2580*C2580</f>
        <v>2573.62186524006</v>
      </c>
    </row>
    <row r="2581" ht="14.85" hidden="1" customHeight="1" spans="1:6">
      <c r="A2581" s="7" t="s">
        <v>83</v>
      </c>
      <c r="B2581" s="7" t="s">
        <v>848</v>
      </c>
      <c r="C2581" s="230">
        <f>取费表!$F$7</f>
        <v>0.07</v>
      </c>
      <c r="D2581" s="274"/>
      <c r="E2581" s="274">
        <f>F2580+F2552</f>
        <v>39339.6485115267</v>
      </c>
      <c r="F2581" s="34">
        <f>E2581*C2581</f>
        <v>2753.77539580687</v>
      </c>
    </row>
    <row r="2582" ht="14.85" hidden="1" customHeight="1" spans="1:6">
      <c r="A2582" s="5" t="s">
        <v>121</v>
      </c>
      <c r="B2582" s="5" t="s">
        <v>861</v>
      </c>
      <c r="C2582" s="275"/>
      <c r="D2582" s="276"/>
      <c r="E2582" s="5"/>
      <c r="F2582" s="277">
        <f>F2583+F2588</f>
        <v>11.0205</v>
      </c>
    </row>
    <row r="2583" ht="14.85" hidden="1" customHeight="1" spans="1:6">
      <c r="A2583" s="7">
        <v>1</v>
      </c>
      <c r="B2583" s="7" t="s">
        <v>1011</v>
      </c>
      <c r="C2583" s="9"/>
      <c r="D2583" s="34"/>
      <c r="E2583" s="7"/>
      <c r="F2583" s="69">
        <f>SUM(F2584:F2587)</f>
        <v>0</v>
      </c>
    </row>
    <row r="2584" ht="14.85" hidden="1" customHeight="1" spans="1:6">
      <c r="A2584" s="7"/>
      <c r="B2584" s="7" t="s">
        <v>1097</v>
      </c>
      <c r="C2584" s="7" t="s">
        <v>169</v>
      </c>
      <c r="D2584" s="34">
        <f t="shared" ref="D2584:D2590" si="189">D2537</f>
        <v>0</v>
      </c>
      <c r="E2584" s="34">
        <f>E2558</f>
        <v>0.14</v>
      </c>
      <c r="F2584" s="69">
        <f t="shared" ref="F2584:F2590" si="190">D2584*E2584</f>
        <v>0</v>
      </c>
    </row>
    <row r="2585" ht="14.85" hidden="1" customHeight="1" spans="1:6">
      <c r="A2585" s="7"/>
      <c r="B2585" s="7" t="s">
        <v>1098</v>
      </c>
      <c r="C2585" s="7" t="s">
        <v>200</v>
      </c>
      <c r="D2585" s="34">
        <f t="shared" si="189"/>
        <v>0</v>
      </c>
      <c r="E2585" s="34">
        <f>E2538</f>
        <v>103</v>
      </c>
      <c r="F2585" s="69">
        <f t="shared" si="190"/>
        <v>0</v>
      </c>
    </row>
    <row r="2586" ht="14.85" hidden="1" customHeight="1" spans="1:6">
      <c r="A2586" s="7"/>
      <c r="B2586" s="7"/>
      <c r="C2586" s="7"/>
      <c r="D2586" s="34"/>
      <c r="E2586" s="34"/>
      <c r="F2586" s="69"/>
    </row>
    <row r="2587" ht="14.85" hidden="1" customHeight="1" spans="1:6">
      <c r="A2587" s="7"/>
      <c r="B2587" s="7"/>
      <c r="C2587" s="7"/>
      <c r="D2587" s="34"/>
      <c r="E2587" s="34"/>
      <c r="F2587" s="69"/>
    </row>
    <row r="2588" ht="14.85" hidden="1" customHeight="1" spans="1:6">
      <c r="A2588" s="7">
        <v>2</v>
      </c>
      <c r="B2588" s="7" t="s">
        <v>1013</v>
      </c>
      <c r="C2588" s="7"/>
      <c r="D2588" s="34"/>
      <c r="E2588" s="38"/>
      <c r="F2588" s="69">
        <f>SUM(F2589:F2590)</f>
        <v>11.0205</v>
      </c>
    </row>
    <row r="2589" ht="14.85" hidden="1" customHeight="1" spans="1:6">
      <c r="A2589" s="7"/>
      <c r="B2589" s="7" t="s">
        <v>1014</v>
      </c>
      <c r="C2589" s="7" t="s">
        <v>863</v>
      </c>
      <c r="D2589" s="34">
        <f t="shared" si="189"/>
        <v>5.925</v>
      </c>
      <c r="E2589" s="38">
        <f>(E2571*7.2+E2572*台时!F76)</f>
        <v>1.86</v>
      </c>
      <c r="F2589" s="69">
        <f t="shared" si="190"/>
        <v>11.0205</v>
      </c>
    </row>
    <row r="2590" ht="14.85" hidden="1" customHeight="1" spans="1:6">
      <c r="A2590" s="7"/>
      <c r="B2590" s="7" t="s">
        <v>862</v>
      </c>
      <c r="C2590" s="7" t="s">
        <v>863</v>
      </c>
      <c r="D2590" s="34">
        <f t="shared" si="189"/>
        <v>4.58</v>
      </c>
      <c r="E2590" s="38"/>
      <c r="F2590" s="69">
        <f t="shared" si="190"/>
        <v>0</v>
      </c>
    </row>
    <row r="2591" ht="14.85" hidden="1" customHeight="1" spans="1:6">
      <c r="A2591" s="7" t="s">
        <v>135</v>
      </c>
      <c r="B2591" s="7" t="s">
        <v>849</v>
      </c>
      <c r="C2591" s="231">
        <f>C2544</f>
        <v>0.09</v>
      </c>
      <c r="D2591" s="34"/>
      <c r="E2591" s="34">
        <f>F2582+F2581+F2580+F2552</f>
        <v>42104.4444073335</v>
      </c>
      <c r="F2591" s="34">
        <f>E2591*C2591</f>
        <v>3789.39999666002</v>
      </c>
    </row>
    <row r="2592" ht="14.85" hidden="1" customHeight="1" spans="1:6">
      <c r="A2592" s="7"/>
      <c r="B2592" s="7" t="s">
        <v>850</v>
      </c>
      <c r="C2592" s="231"/>
      <c r="D2592" s="34"/>
      <c r="E2592" s="34"/>
      <c r="F2592" s="34">
        <f>(F2552+F2580+F2581+F2582+F2591)*取费表!H4</f>
        <v>1376.81533211981</v>
      </c>
    </row>
    <row r="2593" ht="14.85" hidden="1" customHeight="1" spans="1:6">
      <c r="A2593" s="7"/>
      <c r="B2593" s="7" t="s">
        <v>156</v>
      </c>
      <c r="C2593" s="7"/>
      <c r="D2593" s="34"/>
      <c r="E2593" s="34"/>
      <c r="F2593" s="34">
        <f>F2591+E2591+F2592</f>
        <v>47270.6597361134</v>
      </c>
    </row>
    <row r="2594" ht="14.45" customHeight="1" spans="1:6">
      <c r="A2594" s="248" t="s">
        <v>881</v>
      </c>
      <c r="B2594" s="225"/>
      <c r="C2594" s="225"/>
      <c r="D2594" s="225"/>
      <c r="E2594" s="225"/>
      <c r="F2594" s="225"/>
    </row>
    <row r="2595" ht="14.45" customHeight="1" spans="1:6">
      <c r="A2595" s="278" t="s">
        <v>1092</v>
      </c>
      <c r="B2595" s="272"/>
      <c r="C2595" s="272"/>
      <c r="D2595" s="272"/>
      <c r="E2595" s="272"/>
      <c r="F2595" s="272"/>
    </row>
    <row r="2596" ht="14.45" customHeight="1" spans="1:6">
      <c r="A2596" s="227" t="s">
        <v>1093</v>
      </c>
      <c r="B2596" s="228"/>
      <c r="C2596" s="272"/>
      <c r="D2596" s="272"/>
      <c r="E2596" s="228" t="s">
        <v>832</v>
      </c>
      <c r="F2596" s="228"/>
    </row>
    <row r="2597" ht="14.45" customHeight="1" spans="1:6">
      <c r="A2597" s="146" t="s">
        <v>911</v>
      </c>
      <c r="B2597" s="233"/>
      <c r="C2597" s="233"/>
      <c r="D2597" s="233"/>
      <c r="E2597" s="233"/>
      <c r="F2597" s="147"/>
    </row>
    <row r="2598" ht="14.45" customHeight="1" spans="1:6">
      <c r="A2598" s="7" t="s">
        <v>104</v>
      </c>
      <c r="B2598" s="7" t="s">
        <v>835</v>
      </c>
      <c r="C2598" s="7" t="s">
        <v>159</v>
      </c>
      <c r="D2598" s="7" t="s">
        <v>422</v>
      </c>
      <c r="E2598" s="7" t="s">
        <v>160</v>
      </c>
      <c r="F2598" s="7" t="s">
        <v>18</v>
      </c>
    </row>
    <row r="2599" ht="14.45" customHeight="1" spans="1:6">
      <c r="A2599" s="7" t="s">
        <v>836</v>
      </c>
      <c r="B2599" s="7" t="s">
        <v>837</v>
      </c>
      <c r="C2599" s="7"/>
      <c r="D2599" s="7"/>
      <c r="E2599" s="7"/>
      <c r="F2599" s="34">
        <f>F2600+F2626+F2627</f>
        <v>67436.3162007029</v>
      </c>
    </row>
    <row r="2600" ht="14.45" customHeight="1" spans="1:6">
      <c r="A2600" s="7" t="s">
        <v>539</v>
      </c>
      <c r="B2600" s="7" t="s">
        <v>838</v>
      </c>
      <c r="C2600" s="7"/>
      <c r="D2600" s="7"/>
      <c r="E2600" s="7"/>
      <c r="F2600" s="34">
        <f>F2601+F2604+F2614+F2623</f>
        <v>64347.6299625027</v>
      </c>
    </row>
    <row r="2601" ht="14.45" customHeight="1" spans="1:6">
      <c r="A2601" s="7">
        <v>1</v>
      </c>
      <c r="B2601" s="7" t="s">
        <v>839</v>
      </c>
      <c r="C2601" s="7" t="s">
        <v>840</v>
      </c>
      <c r="D2601" s="34"/>
      <c r="E2601" s="69">
        <f>SUM(E2602:E2603)</f>
        <v>3052.7</v>
      </c>
      <c r="F2601" s="69">
        <f>SUM(F2602:F2603)</f>
        <v>23443.04</v>
      </c>
    </row>
    <row r="2602" ht="14.45" customHeight="1" spans="1:6">
      <c r="A2602" s="7"/>
      <c r="B2602" s="7" t="s">
        <v>841</v>
      </c>
      <c r="C2602" s="7" t="s">
        <v>840</v>
      </c>
      <c r="D2602" s="69">
        <f t="shared" ref="D2602:D2610" si="191">D2555</f>
        <v>8.1</v>
      </c>
      <c r="E2602" s="42">
        <v>2501.7</v>
      </c>
      <c r="F2602" s="69">
        <f>D2602*E2602</f>
        <v>20263.77</v>
      </c>
    </row>
    <row r="2603" ht="14.45" customHeight="1" spans="1:6">
      <c r="A2603" s="7"/>
      <c r="B2603" s="7" t="s">
        <v>842</v>
      </c>
      <c r="C2603" s="7" t="s">
        <v>840</v>
      </c>
      <c r="D2603" s="69">
        <f t="shared" si="191"/>
        <v>5.77</v>
      </c>
      <c r="E2603" s="42">
        <v>551</v>
      </c>
      <c r="F2603" s="69">
        <f>D2603*E2603</f>
        <v>3179.27</v>
      </c>
    </row>
    <row r="2604" ht="14.45" customHeight="1" spans="1:6">
      <c r="A2604" s="7">
        <v>2</v>
      </c>
      <c r="B2604" s="7" t="s">
        <v>912</v>
      </c>
      <c r="C2604" s="7"/>
      <c r="D2604" s="34"/>
      <c r="E2604" s="34"/>
      <c r="F2604" s="34">
        <f>SUM(F2605:F2613)</f>
        <v>37889.43029832</v>
      </c>
    </row>
    <row r="2605" ht="14.45" customHeight="1" spans="1:6">
      <c r="A2605" s="7"/>
      <c r="B2605" s="273" t="s">
        <v>996</v>
      </c>
      <c r="C2605" s="273" t="s">
        <v>169</v>
      </c>
      <c r="D2605" s="34">
        <f>D2466</f>
        <v>2238.008025</v>
      </c>
      <c r="E2605" s="34">
        <v>6.17</v>
      </c>
      <c r="F2605" s="34">
        <f t="shared" ref="F2605:F2612" si="192">D2605*E2605</f>
        <v>13808.50951425</v>
      </c>
    </row>
    <row r="2606" ht="14.45" customHeight="1" spans="1:6">
      <c r="A2606" s="7"/>
      <c r="B2606" s="273" t="s">
        <v>1066</v>
      </c>
      <c r="C2606" s="273" t="s">
        <v>863</v>
      </c>
      <c r="D2606" s="34">
        <f t="shared" si="191"/>
        <v>4.44</v>
      </c>
      <c r="E2606" s="34">
        <v>60</v>
      </c>
      <c r="F2606" s="34">
        <f t="shared" si="192"/>
        <v>266.4</v>
      </c>
    </row>
    <row r="2607" ht="14.45" customHeight="1" spans="1:6">
      <c r="A2607" s="7"/>
      <c r="B2607" s="273" t="s">
        <v>998</v>
      </c>
      <c r="C2607" s="273" t="s">
        <v>863</v>
      </c>
      <c r="D2607" s="34">
        <f t="shared" si="191"/>
        <v>4.5</v>
      </c>
      <c r="E2607" s="34">
        <v>60.8</v>
      </c>
      <c r="F2607" s="34">
        <f t="shared" si="192"/>
        <v>273.6</v>
      </c>
    </row>
    <row r="2608" ht="14.45" customHeight="1" spans="1:6">
      <c r="A2608" s="7"/>
      <c r="B2608" s="273" t="s">
        <v>1000</v>
      </c>
      <c r="C2608" s="273" t="s">
        <v>863</v>
      </c>
      <c r="D2608" s="34">
        <f t="shared" si="191"/>
        <v>4.5</v>
      </c>
      <c r="E2608" s="34">
        <v>276</v>
      </c>
      <c r="F2608" s="34">
        <f t="shared" si="192"/>
        <v>1242</v>
      </c>
    </row>
    <row r="2609" ht="14.45" customHeight="1" spans="1:6">
      <c r="A2609" s="7"/>
      <c r="B2609" s="273" t="s">
        <v>1001</v>
      </c>
      <c r="C2609" s="273" t="s">
        <v>863</v>
      </c>
      <c r="D2609" s="34">
        <f t="shared" si="191"/>
        <v>6.39</v>
      </c>
      <c r="E2609" s="34">
        <v>302.4</v>
      </c>
      <c r="F2609" s="34">
        <f t="shared" si="192"/>
        <v>1932.336</v>
      </c>
    </row>
    <row r="2610" ht="14.45" customHeight="1" spans="1:6">
      <c r="A2610" s="7"/>
      <c r="B2610" s="273" t="s">
        <v>1002</v>
      </c>
      <c r="C2610" s="273" t="s">
        <v>863</v>
      </c>
      <c r="D2610" s="34">
        <f t="shared" si="191"/>
        <v>5.97</v>
      </c>
      <c r="E2610" s="34">
        <v>5.8</v>
      </c>
      <c r="F2610" s="34">
        <f t="shared" si="192"/>
        <v>34.626</v>
      </c>
    </row>
    <row r="2611" ht="14.45" customHeight="1" spans="1:6">
      <c r="A2611" s="7"/>
      <c r="B2611" s="7" t="s">
        <v>1025</v>
      </c>
      <c r="C2611" s="7" t="s">
        <v>169</v>
      </c>
      <c r="D2611" s="34">
        <f>配合比!M11</f>
        <v>188.0418245</v>
      </c>
      <c r="E2611" s="34">
        <v>103</v>
      </c>
      <c r="F2611" s="34">
        <f t="shared" si="192"/>
        <v>19368.3079235</v>
      </c>
    </row>
    <row r="2612" ht="14.45" customHeight="1" spans="1:6">
      <c r="A2612" s="7"/>
      <c r="B2612" s="7" t="s">
        <v>913</v>
      </c>
      <c r="C2612" s="7" t="s">
        <v>169</v>
      </c>
      <c r="D2612" s="34">
        <f>D2517</f>
        <v>3.59</v>
      </c>
      <c r="E2612" s="34">
        <v>70</v>
      </c>
      <c r="F2612" s="34">
        <f t="shared" si="192"/>
        <v>251.3</v>
      </c>
    </row>
    <row r="2613" ht="14.45" customHeight="1" spans="1:6">
      <c r="A2613" s="7"/>
      <c r="B2613" s="7" t="s">
        <v>1004</v>
      </c>
      <c r="C2613" s="9" t="s">
        <v>845</v>
      </c>
      <c r="D2613" s="34">
        <f>F2605+F2606+F2607+F2608+F2609+F2610+F2612</f>
        <v>17808.77151425</v>
      </c>
      <c r="E2613" s="34">
        <v>4</v>
      </c>
      <c r="F2613" s="34">
        <f>D2613*E2613/100</f>
        <v>712.35086057</v>
      </c>
    </row>
    <row r="2614" ht="14.45" customHeight="1" spans="1:6">
      <c r="A2614" s="7">
        <v>3</v>
      </c>
      <c r="B2614" s="7" t="s">
        <v>859</v>
      </c>
      <c r="C2614" s="7"/>
      <c r="D2614" s="34"/>
      <c r="E2614" s="34"/>
      <c r="F2614" s="34">
        <f>SUM(F2615:F2622)</f>
        <v>1023.50347279458</v>
      </c>
    </row>
    <row r="2615" ht="14.45" customHeight="1" spans="1:6">
      <c r="A2615" s="7"/>
      <c r="B2615" s="7" t="s">
        <v>1009</v>
      </c>
      <c r="C2615" s="7" t="s">
        <v>428</v>
      </c>
      <c r="D2615" s="34">
        <f t="shared" ref="D2615:D2621" si="193">D2520</f>
        <v>1.82152692461109</v>
      </c>
      <c r="E2615" s="34">
        <v>38.88</v>
      </c>
      <c r="F2615" s="34">
        <f t="shared" ref="F2615:F2621" si="194">D2615*E2615</f>
        <v>70.8209668288792</v>
      </c>
    </row>
    <row r="2616" ht="14.45" customHeight="1" spans="1:6">
      <c r="A2616" s="7"/>
      <c r="B2616" s="279" t="s">
        <v>1079</v>
      </c>
      <c r="C2616" s="7" t="s">
        <v>428</v>
      </c>
      <c r="D2616" s="34">
        <f t="shared" si="193"/>
        <v>23.9179521340247</v>
      </c>
      <c r="E2616" s="34">
        <v>18.54</v>
      </c>
      <c r="F2616" s="34">
        <f t="shared" si="194"/>
        <v>443.438832564818</v>
      </c>
    </row>
    <row r="2617" ht="14.45" customHeight="1" spans="1:6">
      <c r="A2617" s="7"/>
      <c r="B2617" s="279" t="s">
        <v>1095</v>
      </c>
      <c r="C2617" s="7" t="s">
        <v>428</v>
      </c>
      <c r="D2617" s="34">
        <f t="shared" si="193"/>
        <v>37.5880167530913</v>
      </c>
      <c r="E2617" s="251">
        <v>4</v>
      </c>
      <c r="F2617" s="34">
        <f t="shared" si="194"/>
        <v>150.352067012365</v>
      </c>
    </row>
    <row r="2618" ht="14.45" customHeight="1" spans="1:6">
      <c r="A2618" s="7"/>
      <c r="B2618" s="7" t="s">
        <v>967</v>
      </c>
      <c r="C2618" s="7" t="s">
        <v>428</v>
      </c>
      <c r="D2618" s="34">
        <f t="shared" si="193"/>
        <v>0.813242919824491</v>
      </c>
      <c r="E2618" s="251">
        <v>86.4</v>
      </c>
      <c r="F2618" s="34">
        <f t="shared" si="194"/>
        <v>70.2641882728361</v>
      </c>
    </row>
    <row r="2619" ht="14.45" customHeight="1" spans="1:6">
      <c r="A2619" s="7"/>
      <c r="B2619" s="7" t="s">
        <v>1005</v>
      </c>
      <c r="C2619" s="7" t="s">
        <v>428</v>
      </c>
      <c r="D2619" s="34">
        <f t="shared" si="193"/>
        <v>49.389824491424</v>
      </c>
      <c r="E2619" s="251">
        <v>0.96</v>
      </c>
      <c r="F2619" s="34">
        <f t="shared" si="194"/>
        <v>47.4142315117671</v>
      </c>
    </row>
    <row r="2620" ht="14.45" customHeight="1" spans="1:6">
      <c r="A2620" s="7"/>
      <c r="B2620" s="273" t="s">
        <v>1088</v>
      </c>
      <c r="C2620" s="7" t="s">
        <v>428</v>
      </c>
      <c r="D2620" s="34">
        <f t="shared" si="193"/>
        <v>62.3342780215397</v>
      </c>
      <c r="E2620" s="251">
        <v>0.36</v>
      </c>
      <c r="F2620" s="34">
        <f t="shared" si="194"/>
        <v>22.4403400877543</v>
      </c>
    </row>
    <row r="2621" ht="14.45" customHeight="1" spans="1:6">
      <c r="A2621" s="7"/>
      <c r="B2621" s="273" t="s">
        <v>1080</v>
      </c>
      <c r="C2621" s="7" t="s">
        <v>428</v>
      </c>
      <c r="D2621" s="34">
        <f t="shared" si="193"/>
        <v>8.3371858795373</v>
      </c>
      <c r="E2621" s="251">
        <v>5.78</v>
      </c>
      <c r="F2621" s="34">
        <f t="shared" si="194"/>
        <v>48.1889343837256</v>
      </c>
    </row>
    <row r="2622" ht="14.45" customHeight="1" spans="1:6">
      <c r="A2622" s="7"/>
      <c r="B2622" s="7" t="s">
        <v>918</v>
      </c>
      <c r="C2622" s="9" t="s">
        <v>845</v>
      </c>
      <c r="D2622" s="34">
        <f>SUM(F2615:F2621)</f>
        <v>852.919560662146</v>
      </c>
      <c r="E2622" s="34">
        <v>20</v>
      </c>
      <c r="F2622" s="34">
        <f>D2622*E2622/100</f>
        <v>170.583912132429</v>
      </c>
    </row>
    <row r="2623" ht="14.45" customHeight="1" spans="1:6">
      <c r="A2623" s="7">
        <v>4</v>
      </c>
      <c r="B2623" s="7" t="s">
        <v>1010</v>
      </c>
      <c r="C2623" s="9"/>
      <c r="D2623" s="34"/>
      <c r="E2623" s="34"/>
      <c r="F2623" s="34">
        <f>SUM(F2624:F2625)</f>
        <v>1991.65619138815</v>
      </c>
    </row>
    <row r="2624" ht="14.45" customHeight="1" spans="1:6">
      <c r="A2624" s="7"/>
      <c r="B2624" s="123" t="s">
        <v>681</v>
      </c>
      <c r="C2624" s="123" t="s">
        <v>169</v>
      </c>
      <c r="D2624" s="274">
        <f>$F$2795/100</f>
        <v>5.03319379720782</v>
      </c>
      <c r="E2624" s="274">
        <v>103</v>
      </c>
      <c r="F2624" s="34">
        <f>D2624*E2624</f>
        <v>518.418961112405</v>
      </c>
    </row>
    <row r="2625" ht="14.45" customHeight="1" spans="1:6">
      <c r="A2625" s="7"/>
      <c r="B2625" s="123" t="s">
        <v>682</v>
      </c>
      <c r="C2625" s="123" t="s">
        <v>169</v>
      </c>
      <c r="D2625" s="274">
        <f>$F$2813/100</f>
        <v>14.303274080347</v>
      </c>
      <c r="E2625" s="274">
        <v>103</v>
      </c>
      <c r="F2625" s="34">
        <f>D2625*E2625</f>
        <v>1473.23723027574</v>
      </c>
    </row>
    <row r="2626" ht="14.45" customHeight="1" spans="1:6">
      <c r="A2626" s="7" t="s">
        <v>564</v>
      </c>
      <c r="B2626" s="7" t="s">
        <v>846</v>
      </c>
      <c r="C2626" s="230">
        <f>取费表!$C$7</f>
        <v>0.048</v>
      </c>
      <c r="D2626" s="274"/>
      <c r="E2626" s="274">
        <f>F2600</f>
        <v>64347.6299625027</v>
      </c>
      <c r="F2626" s="34">
        <f>E2626*C2626</f>
        <v>3088.68623820013</v>
      </c>
    </row>
    <row r="2627" ht="14.45" customHeight="1" spans="1:6">
      <c r="A2627" s="7"/>
      <c r="B2627" s="7"/>
      <c r="C2627" s="230"/>
      <c r="D2627" s="274"/>
      <c r="E2627" s="274"/>
      <c r="F2627" s="34"/>
    </row>
    <row r="2628" ht="14.45" customHeight="1" spans="1:6">
      <c r="A2628" s="7" t="s">
        <v>439</v>
      </c>
      <c r="B2628" s="7" t="s">
        <v>847</v>
      </c>
      <c r="C2628" s="230">
        <f>取费表!$E$7</f>
        <v>0.07</v>
      </c>
      <c r="D2628" s="274"/>
      <c r="E2628" s="274">
        <f>F2599</f>
        <v>67436.3162007029</v>
      </c>
      <c r="F2628" s="34">
        <f>E2628*C2628</f>
        <v>4720.5421340492</v>
      </c>
    </row>
    <row r="2629" ht="14.45" customHeight="1" spans="1:6">
      <c r="A2629" s="7" t="s">
        <v>83</v>
      </c>
      <c r="B2629" s="7" t="s">
        <v>848</v>
      </c>
      <c r="C2629" s="230">
        <f>取费表!$F$7</f>
        <v>0.07</v>
      </c>
      <c r="D2629" s="274"/>
      <c r="E2629" s="274">
        <f>F2628+F2599</f>
        <v>72156.8583347521</v>
      </c>
      <c r="F2629" s="34">
        <f>E2629*C2629</f>
        <v>5050.98008343265</v>
      </c>
    </row>
    <row r="2630" ht="14.45" customHeight="1" spans="1:6">
      <c r="A2630" s="7" t="s">
        <v>121</v>
      </c>
      <c r="B2630" s="7" t="s">
        <v>861</v>
      </c>
      <c r="C2630" s="9"/>
      <c r="D2630" s="34"/>
      <c r="E2630" s="7"/>
      <c r="F2630" s="69">
        <f>F2631+F2636</f>
        <v>9898.74831194332</v>
      </c>
    </row>
    <row r="2631" ht="14.45" customHeight="1" spans="1:6">
      <c r="A2631" s="7">
        <v>1</v>
      </c>
      <c r="B2631" s="7" t="s">
        <v>1011</v>
      </c>
      <c r="C2631" s="9"/>
      <c r="D2631" s="34"/>
      <c r="E2631" s="7"/>
      <c r="F2631" s="69">
        <f>SUM(F2632:F2635)</f>
        <v>9639.80211194332</v>
      </c>
    </row>
    <row r="2632" ht="14.45" customHeight="1" spans="1:6">
      <c r="A2632" s="7"/>
      <c r="B2632" s="7"/>
      <c r="C2632" s="7"/>
      <c r="D2632" s="34"/>
      <c r="E2632" s="34"/>
      <c r="F2632" s="69"/>
    </row>
    <row r="2633" ht="14.45" customHeight="1" spans="1:6">
      <c r="A2633" s="7"/>
      <c r="B2633" s="7" t="s">
        <v>979</v>
      </c>
      <c r="C2633" s="7" t="s">
        <v>200</v>
      </c>
      <c r="D2633" s="34">
        <f>材料预算价!K5-材料预算价!L5</f>
        <v>141.58936</v>
      </c>
      <c r="E2633" s="34">
        <f>E2611*配合比!E11</f>
        <v>37.58161</v>
      </c>
      <c r="F2633" s="69">
        <f>D2633*E2633</f>
        <v>5321.1561076696</v>
      </c>
    </row>
    <row r="2634" ht="14.45" customHeight="1" spans="1:6">
      <c r="A2634" s="7"/>
      <c r="B2634" s="7" t="s">
        <v>961</v>
      </c>
      <c r="C2634" s="7" t="s">
        <v>169</v>
      </c>
      <c r="D2634" s="34">
        <f>D2493</f>
        <v>34.366056</v>
      </c>
      <c r="E2634" s="34">
        <f>E2611*配合比!G11</f>
        <v>52.18598</v>
      </c>
      <c r="F2634" s="69">
        <f>D2634*E2634</f>
        <v>1793.42631109488</v>
      </c>
    </row>
    <row r="2635" ht="14.45" customHeight="1" spans="1:6">
      <c r="A2635" s="7"/>
      <c r="B2635" s="7" t="s">
        <v>1012</v>
      </c>
      <c r="C2635" s="7" t="s">
        <v>169</v>
      </c>
      <c r="D2635" s="34">
        <f>材料预算价!K8-材料预算价!L8</f>
        <v>29.13701</v>
      </c>
      <c r="E2635" s="34">
        <f>E2611*配合比!I11</f>
        <v>86.667084</v>
      </c>
      <c r="F2635" s="69">
        <f>D2635*E2635</f>
        <v>2525.21969317884</v>
      </c>
    </row>
    <row r="2636" ht="14.45" customHeight="1" spans="1:6">
      <c r="A2636" s="7">
        <v>2</v>
      </c>
      <c r="B2636" s="7" t="s">
        <v>1013</v>
      </c>
      <c r="C2636" s="7"/>
      <c r="D2636" s="34"/>
      <c r="E2636" s="38"/>
      <c r="F2636" s="69">
        <f>SUM(F2637:F2638)</f>
        <v>258.9462</v>
      </c>
    </row>
    <row r="2637" ht="14.45" customHeight="1" spans="1:6">
      <c r="A2637" s="7"/>
      <c r="B2637" s="7" t="s">
        <v>1014</v>
      </c>
      <c r="C2637" s="7" t="s">
        <v>863</v>
      </c>
      <c r="D2637" s="34">
        <f>材料预算价!K12-材料预算价!L12</f>
        <v>5.925</v>
      </c>
      <c r="E2637" s="38">
        <f>E2620*台时!F76+E2621*台时!H34</f>
        <v>43.704</v>
      </c>
      <c r="F2637" s="69">
        <f>D2637*E2637</f>
        <v>258.9462</v>
      </c>
    </row>
    <row r="2638" ht="14.45" customHeight="1" spans="1:6">
      <c r="A2638" s="7"/>
      <c r="B2638" s="7" t="s">
        <v>862</v>
      </c>
      <c r="C2638" s="7" t="s">
        <v>863</v>
      </c>
      <c r="D2638" s="34">
        <f>D2460</f>
        <v>0</v>
      </c>
      <c r="E2638" s="38"/>
      <c r="F2638" s="69">
        <f>D2638*E2638</f>
        <v>0</v>
      </c>
    </row>
    <row r="2639" ht="14.45" customHeight="1" spans="1:6">
      <c r="A2639" s="7" t="s">
        <v>135</v>
      </c>
      <c r="B2639" s="7" t="s">
        <v>849</v>
      </c>
      <c r="C2639" s="231">
        <f>C2591</f>
        <v>0.09</v>
      </c>
      <c r="D2639" s="34"/>
      <c r="E2639" s="34">
        <f>F2630+F2629+F2628+F2599</f>
        <v>87106.586730128</v>
      </c>
      <c r="F2639" s="34">
        <f>E2639*C2639</f>
        <v>7839.59280571152</v>
      </c>
    </row>
    <row r="2640" ht="14.45" customHeight="1" spans="1:6">
      <c r="A2640" s="7"/>
      <c r="B2640" s="7" t="s">
        <v>850</v>
      </c>
      <c r="C2640" s="231"/>
      <c r="D2640" s="34"/>
      <c r="E2640" s="34"/>
      <c r="F2640" s="34">
        <f>(F2599+F2628+F2629+F2630+F2639)*取费表!H7</f>
        <v>2848.38538607519</v>
      </c>
    </row>
    <row r="2641" ht="14.45" customHeight="1" spans="1:6">
      <c r="A2641" s="7"/>
      <c r="B2641" s="7" t="s">
        <v>156</v>
      </c>
      <c r="C2641" s="7"/>
      <c r="D2641" s="34"/>
      <c r="E2641" s="34"/>
      <c r="F2641" s="34">
        <f>F2639+E2639+F2640</f>
        <v>97794.5649219147</v>
      </c>
    </row>
    <row r="2642" ht="14.85" customHeight="1" spans="1:6">
      <c r="A2642" s="248" t="s">
        <v>881</v>
      </c>
      <c r="B2642" s="225"/>
      <c r="C2642" s="225"/>
      <c r="D2642" s="225"/>
      <c r="E2642" s="225"/>
      <c r="F2642" s="225"/>
    </row>
    <row r="2643" ht="14.85" customHeight="1" spans="1:6">
      <c r="A2643" s="278" t="s">
        <v>1099</v>
      </c>
      <c r="B2643" s="272"/>
      <c r="C2643" s="272"/>
      <c r="D2643" s="272"/>
      <c r="E2643" s="272"/>
      <c r="F2643" s="272"/>
    </row>
    <row r="2644" ht="14.85" customHeight="1" spans="1:6">
      <c r="A2644" s="227" t="s">
        <v>1093</v>
      </c>
      <c r="B2644" s="228"/>
      <c r="C2644" s="272"/>
      <c r="D2644" s="272"/>
      <c r="E2644" s="228" t="s">
        <v>832</v>
      </c>
      <c r="F2644" s="228"/>
    </row>
    <row r="2645" ht="14.85" customHeight="1" spans="1:6">
      <c r="A2645" s="146" t="s">
        <v>911</v>
      </c>
      <c r="B2645" s="233"/>
      <c r="C2645" s="233"/>
      <c r="D2645" s="233"/>
      <c r="E2645" s="233"/>
      <c r="F2645" s="147"/>
    </row>
    <row r="2646" ht="14.85" customHeight="1" spans="1:6">
      <c r="A2646" s="7" t="s">
        <v>104</v>
      </c>
      <c r="B2646" s="7" t="s">
        <v>835</v>
      </c>
      <c r="C2646" s="7" t="s">
        <v>159</v>
      </c>
      <c r="D2646" s="7" t="s">
        <v>422</v>
      </c>
      <c r="E2646" s="7" t="s">
        <v>160</v>
      </c>
      <c r="F2646" s="7" t="s">
        <v>18</v>
      </c>
    </row>
    <row r="2647" ht="14.85" customHeight="1" spans="1:6">
      <c r="A2647" s="7" t="s">
        <v>836</v>
      </c>
      <c r="B2647" s="7" t="s">
        <v>837</v>
      </c>
      <c r="C2647" s="7"/>
      <c r="D2647" s="7"/>
      <c r="E2647" s="7"/>
      <c r="F2647" s="34">
        <f>F2648+F2673+F2674</f>
        <v>36932.0444852117</v>
      </c>
    </row>
    <row r="2648" ht="14.85" customHeight="1" spans="1:6">
      <c r="A2648" s="7" t="s">
        <v>539</v>
      </c>
      <c r="B2648" s="7" t="s">
        <v>838</v>
      </c>
      <c r="C2648" s="7"/>
      <c r="D2648" s="7"/>
      <c r="E2648" s="7"/>
      <c r="F2648" s="34">
        <f>F2649+F2652+F2662+F2670</f>
        <v>35240.5004629883</v>
      </c>
    </row>
    <row r="2649" ht="14.85" customHeight="1" spans="1:6">
      <c r="A2649" s="7">
        <v>1</v>
      </c>
      <c r="B2649" s="7" t="s">
        <v>839</v>
      </c>
      <c r="C2649" s="7" t="s">
        <v>840</v>
      </c>
      <c r="D2649" s="34"/>
      <c r="E2649" s="69">
        <f>SUM(E2650:E2651)</f>
        <v>1593.2</v>
      </c>
      <c r="F2649" s="69">
        <f>SUM(F2650:F2651)</f>
        <v>12061.46</v>
      </c>
    </row>
    <row r="2650" ht="14.85" customHeight="1" spans="1:6">
      <c r="A2650" s="7"/>
      <c r="B2650" s="7" t="s">
        <v>841</v>
      </c>
      <c r="C2650" s="7" t="s">
        <v>840</v>
      </c>
      <c r="D2650" s="69">
        <f>D2602</f>
        <v>8.1</v>
      </c>
      <c r="E2650" s="42">
        <v>1231.2</v>
      </c>
      <c r="F2650" s="69">
        <f>D2650*E2650</f>
        <v>9972.72</v>
      </c>
    </row>
    <row r="2651" ht="14.85" customHeight="1" spans="1:6">
      <c r="A2651" s="7"/>
      <c r="B2651" s="7" t="s">
        <v>842</v>
      </c>
      <c r="C2651" s="7" t="s">
        <v>840</v>
      </c>
      <c r="D2651" s="69">
        <f>D2603</f>
        <v>5.77</v>
      </c>
      <c r="E2651" s="42">
        <v>362</v>
      </c>
      <c r="F2651" s="69">
        <f>D2651*E2651</f>
        <v>2088.74</v>
      </c>
    </row>
    <row r="2652" ht="14.85" customHeight="1" spans="1:6">
      <c r="A2652" s="7">
        <v>2</v>
      </c>
      <c r="B2652" s="7" t="s">
        <v>912</v>
      </c>
      <c r="C2652" s="7"/>
      <c r="D2652" s="34"/>
      <c r="E2652" s="34"/>
      <c r="F2652" s="34">
        <f>SUM(F2653:F2661)</f>
        <v>20502.25645194</v>
      </c>
    </row>
    <row r="2653" ht="14.85" customHeight="1" spans="1:6">
      <c r="A2653" s="7"/>
      <c r="B2653" s="273" t="s">
        <v>996</v>
      </c>
      <c r="C2653" s="273" t="s">
        <v>169</v>
      </c>
      <c r="D2653" s="34">
        <f t="shared" ref="D2653:D2660" si="195">D2605</f>
        <v>2238.008025</v>
      </c>
      <c r="E2653" s="34">
        <v>0.14</v>
      </c>
      <c r="F2653" s="34">
        <f t="shared" ref="F2653:F2660" si="196">D2653*E2653</f>
        <v>313.3211235</v>
      </c>
    </row>
    <row r="2654" ht="14.85" customHeight="1" spans="1:6">
      <c r="A2654" s="7"/>
      <c r="B2654" s="273" t="s">
        <v>1066</v>
      </c>
      <c r="C2654" s="273" t="s">
        <v>863</v>
      </c>
      <c r="D2654" s="34">
        <f t="shared" si="195"/>
        <v>4.44</v>
      </c>
      <c r="E2654" s="34">
        <v>13.1</v>
      </c>
      <c r="F2654" s="34">
        <f t="shared" si="196"/>
        <v>58.164</v>
      </c>
    </row>
    <row r="2655" ht="14.85" customHeight="1" spans="1:6">
      <c r="A2655" s="7"/>
      <c r="B2655" s="273" t="s">
        <v>998</v>
      </c>
      <c r="C2655" s="273" t="s">
        <v>863</v>
      </c>
      <c r="D2655" s="34">
        <f t="shared" si="195"/>
        <v>4.5</v>
      </c>
      <c r="E2655" s="34">
        <v>13.2</v>
      </c>
      <c r="F2655" s="34">
        <f t="shared" si="196"/>
        <v>59.4</v>
      </c>
    </row>
    <row r="2656" ht="14.85" customHeight="1" spans="1:6">
      <c r="A2656" s="7"/>
      <c r="B2656" s="273" t="s">
        <v>1000</v>
      </c>
      <c r="C2656" s="273" t="s">
        <v>863</v>
      </c>
      <c r="D2656" s="34">
        <f t="shared" si="195"/>
        <v>4.5</v>
      </c>
      <c r="E2656" s="34">
        <v>14.7</v>
      </c>
      <c r="F2656" s="34">
        <f t="shared" si="196"/>
        <v>66.15</v>
      </c>
    </row>
    <row r="2657" ht="14.85" customHeight="1" spans="1:6">
      <c r="A2657" s="7"/>
      <c r="B2657" s="273" t="s">
        <v>1001</v>
      </c>
      <c r="C2657" s="273" t="s">
        <v>863</v>
      </c>
      <c r="D2657" s="34">
        <f t="shared" si="195"/>
        <v>6.39</v>
      </c>
      <c r="E2657" s="34">
        <v>52.4</v>
      </c>
      <c r="F2657" s="34">
        <f t="shared" si="196"/>
        <v>334.836</v>
      </c>
    </row>
    <row r="2658" ht="14.85" customHeight="1" spans="1:6">
      <c r="A2658" s="7"/>
      <c r="B2658" s="273" t="s">
        <v>1002</v>
      </c>
      <c r="C2658" s="273" t="s">
        <v>863</v>
      </c>
      <c r="D2658" s="34">
        <f t="shared" si="195"/>
        <v>5.97</v>
      </c>
      <c r="E2658" s="34">
        <v>1.2</v>
      </c>
      <c r="F2658" s="34">
        <f t="shared" si="196"/>
        <v>7.164</v>
      </c>
    </row>
    <row r="2659" ht="14.85" customHeight="1" spans="1:6">
      <c r="A2659" s="7"/>
      <c r="B2659" s="7" t="s">
        <v>1025</v>
      </c>
      <c r="C2659" s="7" t="s">
        <v>169</v>
      </c>
      <c r="D2659" s="34">
        <f t="shared" si="195"/>
        <v>188.0418245</v>
      </c>
      <c r="E2659" s="34">
        <v>103</v>
      </c>
      <c r="F2659" s="34">
        <f t="shared" si="196"/>
        <v>19368.3079235</v>
      </c>
    </row>
    <row r="2660" ht="14.85" customHeight="1" spans="1:6">
      <c r="A2660" s="7"/>
      <c r="B2660" s="7" t="s">
        <v>913</v>
      </c>
      <c r="C2660" s="7" t="s">
        <v>169</v>
      </c>
      <c r="D2660" s="34">
        <f t="shared" si="195"/>
        <v>3.59</v>
      </c>
      <c r="E2660" s="34">
        <v>70</v>
      </c>
      <c r="F2660" s="34">
        <f t="shared" si="196"/>
        <v>251.3</v>
      </c>
    </row>
    <row r="2661" ht="14.85" customHeight="1" spans="1:6">
      <c r="A2661" s="7"/>
      <c r="B2661" s="7" t="s">
        <v>1004</v>
      </c>
      <c r="C2661" s="9" t="s">
        <v>845</v>
      </c>
      <c r="D2661" s="34">
        <f>F2653+F2654+F2655+F2656+F2657+F2658+F2660</f>
        <v>1090.3351235</v>
      </c>
      <c r="E2661" s="34">
        <v>4</v>
      </c>
      <c r="F2661" s="34">
        <f>D2661*E2661/100</f>
        <v>43.61340494</v>
      </c>
    </row>
    <row r="2662" ht="14.85" customHeight="1" spans="1:6">
      <c r="A2662" s="7">
        <v>3</v>
      </c>
      <c r="B2662" s="7" t="s">
        <v>859</v>
      </c>
      <c r="C2662" s="7"/>
      <c r="D2662" s="34"/>
      <c r="E2662" s="34"/>
      <c r="F2662" s="34">
        <f>SUM(F2663:F2669)</f>
        <v>685.127819660151</v>
      </c>
    </row>
    <row r="2663" ht="14.85" customHeight="1" spans="1:6">
      <c r="A2663" s="7"/>
      <c r="B2663" s="7" t="s">
        <v>1009</v>
      </c>
      <c r="C2663" s="7" t="s">
        <v>428</v>
      </c>
      <c r="D2663" s="34">
        <f t="shared" ref="D2663:D2668" si="197">D2568</f>
        <v>1.82152692461109</v>
      </c>
      <c r="E2663" s="34">
        <v>23</v>
      </c>
      <c r="F2663" s="34">
        <f t="shared" ref="F2663:F2668" si="198">D2663*E2663</f>
        <v>41.895119266055</v>
      </c>
    </row>
    <row r="2664" ht="14.85" customHeight="1" spans="1:6">
      <c r="A2664" s="7"/>
      <c r="B2664" s="279" t="s">
        <v>1079</v>
      </c>
      <c r="C2664" s="7" t="s">
        <v>428</v>
      </c>
      <c r="D2664" s="34">
        <f t="shared" si="197"/>
        <v>23.9179521340247</v>
      </c>
      <c r="E2664" s="34">
        <v>18.54</v>
      </c>
      <c r="F2664" s="34">
        <f t="shared" si="198"/>
        <v>443.438832564818</v>
      </c>
    </row>
    <row r="2665" ht="14.85" customHeight="1" spans="1:6">
      <c r="A2665" s="7"/>
      <c r="B2665" s="7" t="s">
        <v>967</v>
      </c>
      <c r="C2665" s="7" t="s">
        <v>428</v>
      </c>
      <c r="D2665" s="34">
        <f t="shared" si="197"/>
        <v>0.813242919824491</v>
      </c>
      <c r="E2665" s="251">
        <v>75.2</v>
      </c>
      <c r="F2665" s="34">
        <f t="shared" si="198"/>
        <v>61.1558675708018</v>
      </c>
    </row>
    <row r="2666" ht="14.85" customHeight="1" spans="1:6">
      <c r="A2666" s="7"/>
      <c r="B2666" s="7" t="s">
        <v>1005</v>
      </c>
      <c r="C2666" s="7" t="s">
        <v>428</v>
      </c>
      <c r="D2666" s="34">
        <f t="shared" si="197"/>
        <v>49.389824491424</v>
      </c>
      <c r="E2666" s="251">
        <v>0.21</v>
      </c>
      <c r="F2666" s="34">
        <f t="shared" si="198"/>
        <v>10.371863143199</v>
      </c>
    </row>
    <row r="2667" ht="14.85" customHeight="1" spans="1:6">
      <c r="A2667" s="7"/>
      <c r="B2667" s="273" t="s">
        <v>1088</v>
      </c>
      <c r="C2667" s="7" t="s">
        <v>428</v>
      </c>
      <c r="D2667" s="34">
        <f t="shared" si="197"/>
        <v>62.3342780215397</v>
      </c>
      <c r="E2667" s="251">
        <v>0.06</v>
      </c>
      <c r="F2667" s="34">
        <f t="shared" si="198"/>
        <v>3.74005668129238</v>
      </c>
    </row>
    <row r="2668" ht="14.85" customHeight="1" spans="1:6">
      <c r="A2668" s="7"/>
      <c r="B2668" s="273" t="s">
        <v>1080</v>
      </c>
      <c r="C2668" s="7" t="s">
        <v>428</v>
      </c>
      <c r="D2668" s="34">
        <f t="shared" si="197"/>
        <v>8.3371858795373</v>
      </c>
      <c r="E2668" s="251">
        <v>1.24</v>
      </c>
      <c r="F2668" s="34">
        <f t="shared" si="198"/>
        <v>10.3381104906262</v>
      </c>
    </row>
    <row r="2669" ht="14.85" customHeight="1" spans="1:6">
      <c r="A2669" s="7"/>
      <c r="B2669" s="7" t="s">
        <v>918</v>
      </c>
      <c r="C2669" s="9" t="s">
        <v>845</v>
      </c>
      <c r="D2669" s="34">
        <f>SUM(F2663:F2668)</f>
        <v>570.939849716793</v>
      </c>
      <c r="E2669" s="34">
        <v>20</v>
      </c>
      <c r="F2669" s="34">
        <f>D2669*E2669/100</f>
        <v>114.187969943359</v>
      </c>
    </row>
    <row r="2670" ht="14.85" customHeight="1" spans="1:6">
      <c r="A2670" s="5">
        <v>4</v>
      </c>
      <c r="B2670" s="5" t="s">
        <v>1010</v>
      </c>
      <c r="C2670" s="275"/>
      <c r="D2670" s="276"/>
      <c r="E2670" s="276"/>
      <c r="F2670" s="276">
        <f>SUM(F2671:F2672)</f>
        <v>1991.65619138815</v>
      </c>
    </row>
    <row r="2671" ht="14.85" customHeight="1" spans="1:6">
      <c r="A2671" s="7"/>
      <c r="B2671" s="123" t="s">
        <v>681</v>
      </c>
      <c r="C2671" s="123" t="s">
        <v>169</v>
      </c>
      <c r="D2671" s="274">
        <f>$F$2795/100</f>
        <v>5.03319379720782</v>
      </c>
      <c r="E2671" s="274">
        <v>103</v>
      </c>
      <c r="F2671" s="34">
        <f>D2671*E2671</f>
        <v>518.418961112405</v>
      </c>
    </row>
    <row r="2672" ht="14.85" customHeight="1" spans="1:6">
      <c r="A2672" s="7"/>
      <c r="B2672" s="123" t="s">
        <v>682</v>
      </c>
      <c r="C2672" s="123" t="s">
        <v>169</v>
      </c>
      <c r="D2672" s="274">
        <f>$F$2813/100</f>
        <v>14.303274080347</v>
      </c>
      <c r="E2672" s="274">
        <v>103</v>
      </c>
      <c r="F2672" s="34">
        <f>D2672*E2672</f>
        <v>1473.23723027574</v>
      </c>
    </row>
    <row r="2673" ht="14.85" customHeight="1" spans="1:6">
      <c r="A2673" s="7" t="s">
        <v>564</v>
      </c>
      <c r="B2673" s="7" t="s">
        <v>846</v>
      </c>
      <c r="C2673" s="230">
        <f>取费表!$C$7</f>
        <v>0.048</v>
      </c>
      <c r="D2673" s="274"/>
      <c r="E2673" s="274">
        <f>F2648</f>
        <v>35240.5004629883</v>
      </c>
      <c r="F2673" s="34">
        <f>E2673*C2673</f>
        <v>1691.54402222344</v>
      </c>
    </row>
    <row r="2674" ht="14.85" customHeight="1" spans="1:6">
      <c r="A2674" s="7"/>
      <c r="B2674" s="7"/>
      <c r="C2674" s="230"/>
      <c r="D2674" s="274"/>
      <c r="E2674" s="274"/>
      <c r="F2674" s="34"/>
    </row>
    <row r="2675" ht="14.85" customHeight="1" spans="1:6">
      <c r="A2675" s="7" t="s">
        <v>439</v>
      </c>
      <c r="B2675" s="7" t="s">
        <v>847</v>
      </c>
      <c r="C2675" s="230">
        <f>取费表!$E$7</f>
        <v>0.07</v>
      </c>
      <c r="D2675" s="274"/>
      <c r="E2675" s="274">
        <f>F2647</f>
        <v>36932.0444852117</v>
      </c>
      <c r="F2675" s="34">
        <f>E2675*C2675</f>
        <v>2585.24311396482</v>
      </c>
    </row>
    <row r="2676" ht="14.85" customHeight="1" spans="1:6">
      <c r="A2676" s="7" t="s">
        <v>83</v>
      </c>
      <c r="B2676" s="7" t="s">
        <v>848</v>
      </c>
      <c r="C2676" s="230">
        <f>取费表!$F$7</f>
        <v>0.07</v>
      </c>
      <c r="D2676" s="274"/>
      <c r="E2676" s="274">
        <f>F2675+F2647</f>
        <v>39517.2875991766</v>
      </c>
      <c r="F2676" s="34">
        <f>E2676*C2676</f>
        <v>2766.21013194236</v>
      </c>
    </row>
    <row r="2677" ht="14.85" customHeight="1" spans="1:6">
      <c r="A2677" s="5" t="s">
        <v>121</v>
      </c>
      <c r="B2677" s="5" t="s">
        <v>861</v>
      </c>
      <c r="C2677" s="275"/>
      <c r="D2677" s="276"/>
      <c r="E2677" s="5"/>
      <c r="F2677" s="277">
        <f>F2678+F2683</f>
        <v>9650.82261194332</v>
      </c>
    </row>
    <row r="2678" ht="14.85" customHeight="1" spans="1:6">
      <c r="A2678" s="7">
        <v>1</v>
      </c>
      <c r="B2678" s="7" t="s">
        <v>1011</v>
      </c>
      <c r="C2678" s="9"/>
      <c r="D2678" s="34"/>
      <c r="E2678" s="7"/>
      <c r="F2678" s="69">
        <f>SUM(F2679:F2682)</f>
        <v>9639.80211194332</v>
      </c>
    </row>
    <row r="2679" ht="14.85" customHeight="1" spans="1:6">
      <c r="A2679" s="7"/>
      <c r="B2679" s="7"/>
      <c r="C2679" s="7"/>
      <c r="D2679" s="34"/>
      <c r="E2679" s="34"/>
      <c r="F2679" s="69"/>
    </row>
    <row r="2680" ht="14.85" customHeight="1" spans="1:6">
      <c r="A2680" s="7"/>
      <c r="B2680" s="7" t="s">
        <v>979</v>
      </c>
      <c r="C2680" s="7" t="s">
        <v>200</v>
      </c>
      <c r="D2680" s="34">
        <f t="shared" ref="D2680:D2685" si="199">D2633</f>
        <v>141.58936</v>
      </c>
      <c r="E2680" s="34">
        <f>E2633</f>
        <v>37.58161</v>
      </c>
      <c r="F2680" s="69">
        <f>D2680*E2680</f>
        <v>5321.1561076696</v>
      </c>
    </row>
    <row r="2681" ht="14.85" customHeight="1" spans="1:6">
      <c r="A2681" s="7"/>
      <c r="B2681" s="7" t="s">
        <v>961</v>
      </c>
      <c r="C2681" s="7" t="s">
        <v>169</v>
      </c>
      <c r="D2681" s="34">
        <f t="shared" si="199"/>
        <v>34.366056</v>
      </c>
      <c r="E2681" s="34">
        <f>E2634</f>
        <v>52.18598</v>
      </c>
      <c r="F2681" s="69">
        <f>D2681*E2681</f>
        <v>1793.42631109488</v>
      </c>
    </row>
    <row r="2682" ht="14.85" customHeight="1" spans="1:6">
      <c r="A2682" s="7"/>
      <c r="B2682" s="7" t="s">
        <v>1012</v>
      </c>
      <c r="C2682" s="7" t="s">
        <v>169</v>
      </c>
      <c r="D2682" s="34">
        <f t="shared" si="199"/>
        <v>29.13701</v>
      </c>
      <c r="E2682" s="34">
        <f>E2635</f>
        <v>86.667084</v>
      </c>
      <c r="F2682" s="69">
        <f>D2682*E2682</f>
        <v>2525.21969317884</v>
      </c>
    </row>
    <row r="2683" ht="14.85" customHeight="1" spans="1:6">
      <c r="A2683" s="7">
        <v>2</v>
      </c>
      <c r="B2683" s="7" t="s">
        <v>1013</v>
      </c>
      <c r="C2683" s="7"/>
      <c r="D2683" s="34"/>
      <c r="E2683" s="38"/>
      <c r="F2683" s="69">
        <f>SUM(F2684:F2685)</f>
        <v>11.0205</v>
      </c>
    </row>
    <row r="2684" ht="14.85" customHeight="1" spans="1:6">
      <c r="A2684" s="7"/>
      <c r="B2684" s="7" t="s">
        <v>1014</v>
      </c>
      <c r="C2684" s="7" t="s">
        <v>863</v>
      </c>
      <c r="D2684" s="34">
        <f t="shared" si="199"/>
        <v>5.925</v>
      </c>
      <c r="E2684" s="38">
        <f>(E2666*7.2+E2667*5.8)</f>
        <v>1.86</v>
      </c>
      <c r="F2684" s="69">
        <f>D2684*E2684</f>
        <v>11.0205</v>
      </c>
    </row>
    <row r="2685" ht="14.85" customHeight="1" spans="1:6">
      <c r="A2685" s="7"/>
      <c r="B2685" s="7" t="s">
        <v>862</v>
      </c>
      <c r="C2685" s="7" t="s">
        <v>863</v>
      </c>
      <c r="D2685" s="34">
        <f t="shared" si="199"/>
        <v>0</v>
      </c>
      <c r="E2685" s="38"/>
      <c r="F2685" s="69">
        <f>D2685*E2685</f>
        <v>0</v>
      </c>
    </row>
    <row r="2686" ht="14.85" customHeight="1" spans="1:6">
      <c r="A2686" s="7" t="s">
        <v>135</v>
      </c>
      <c r="B2686" s="7" t="s">
        <v>849</v>
      </c>
      <c r="C2686" s="231">
        <f>C2639</f>
        <v>0.09</v>
      </c>
      <c r="D2686" s="34"/>
      <c r="E2686" s="34">
        <f>F2677+F2676+F2675+F2647</f>
        <v>51934.3203430623</v>
      </c>
      <c r="F2686" s="34">
        <f>E2686*C2686</f>
        <v>4674.0888308756</v>
      </c>
    </row>
    <row r="2687" ht="14.85" customHeight="1" spans="1:6">
      <c r="A2687" s="7"/>
      <c r="B2687" s="7" t="s">
        <v>850</v>
      </c>
      <c r="C2687" s="231"/>
      <c r="D2687" s="34"/>
      <c r="E2687" s="34"/>
      <c r="F2687" s="34">
        <f>(F2647+F2675+F2676+F2677+F2686)*取费表!H7</f>
        <v>1698.25227521814</v>
      </c>
    </row>
    <row r="2688" ht="14.85" customHeight="1" spans="1:6">
      <c r="A2688" s="7"/>
      <c r="B2688" s="7" t="s">
        <v>156</v>
      </c>
      <c r="C2688" s="7"/>
      <c r="D2688" s="34"/>
      <c r="E2688" s="34"/>
      <c r="F2688" s="34">
        <f>F2686+E2686+F2687</f>
        <v>58306.661449156</v>
      </c>
    </row>
    <row r="2689" ht="14.45" customHeight="1" spans="1:6">
      <c r="A2689" s="248" t="s">
        <v>881</v>
      </c>
      <c r="B2689" s="225"/>
      <c r="C2689" s="225"/>
      <c r="D2689" s="225"/>
      <c r="E2689" s="225"/>
      <c r="F2689" s="225"/>
    </row>
    <row r="2690" ht="14.45" customHeight="1" spans="1:6">
      <c r="A2690" s="278" t="s">
        <v>1100</v>
      </c>
      <c r="B2690" s="272"/>
      <c r="C2690" s="272"/>
      <c r="D2690" s="272"/>
      <c r="E2690" s="272"/>
      <c r="F2690" s="272"/>
    </row>
    <row r="2691" ht="14.45" customHeight="1" spans="1:6">
      <c r="A2691" s="227" t="s">
        <v>1093</v>
      </c>
      <c r="B2691" s="228"/>
      <c r="C2691" s="272"/>
      <c r="D2691" s="272"/>
      <c r="E2691" s="228" t="s">
        <v>832</v>
      </c>
      <c r="F2691" s="228"/>
    </row>
    <row r="2692" ht="14.45" customHeight="1" spans="1:6">
      <c r="A2692" s="146" t="s">
        <v>911</v>
      </c>
      <c r="B2692" s="233"/>
      <c r="C2692" s="233"/>
      <c r="D2692" s="233"/>
      <c r="E2692" s="233"/>
      <c r="F2692" s="147"/>
    </row>
    <row r="2693" ht="14.45" customHeight="1" spans="1:6">
      <c r="A2693" s="7" t="s">
        <v>104</v>
      </c>
      <c r="B2693" s="7" t="s">
        <v>835</v>
      </c>
      <c r="C2693" s="7" t="s">
        <v>159</v>
      </c>
      <c r="D2693" s="7" t="s">
        <v>422</v>
      </c>
      <c r="E2693" s="7" t="s">
        <v>160</v>
      </c>
      <c r="F2693" s="7" t="s">
        <v>18</v>
      </c>
    </row>
    <row r="2694" ht="14.45" customHeight="1" spans="1:6">
      <c r="A2694" s="7" t="s">
        <v>836</v>
      </c>
      <c r="B2694" s="7" t="s">
        <v>837</v>
      </c>
      <c r="C2694" s="7"/>
      <c r="D2694" s="7"/>
      <c r="E2694" s="7"/>
      <c r="F2694" s="34">
        <f>F2695+F2721+F2722</f>
        <v>67436.3162007029</v>
      </c>
    </row>
    <row r="2695" ht="14.45" customHeight="1" spans="1:6">
      <c r="A2695" s="7" t="s">
        <v>539</v>
      </c>
      <c r="B2695" s="7" t="s">
        <v>838</v>
      </c>
      <c r="C2695" s="7"/>
      <c r="D2695" s="7"/>
      <c r="E2695" s="7"/>
      <c r="F2695" s="34">
        <f>F2696+F2699+F2709+F2718</f>
        <v>64347.6299625027</v>
      </c>
    </row>
    <row r="2696" ht="14.45" customHeight="1" spans="1:6">
      <c r="A2696" s="7">
        <v>1</v>
      </c>
      <c r="B2696" s="7" t="s">
        <v>839</v>
      </c>
      <c r="C2696" s="7" t="s">
        <v>840</v>
      </c>
      <c r="D2696" s="34"/>
      <c r="E2696" s="69">
        <f>SUM(E2697:E2698)</f>
        <v>3052.7</v>
      </c>
      <c r="F2696" s="69">
        <f>SUM(F2697:F2698)</f>
        <v>23443.04</v>
      </c>
    </row>
    <row r="2697" ht="14.45" customHeight="1" spans="1:6">
      <c r="A2697" s="7"/>
      <c r="B2697" s="7" t="s">
        <v>841</v>
      </c>
      <c r="C2697" s="7" t="s">
        <v>840</v>
      </c>
      <c r="D2697" s="69">
        <f>D2650</f>
        <v>8.1</v>
      </c>
      <c r="E2697" s="42">
        <v>2501.7</v>
      </c>
      <c r="F2697" s="69">
        <f>D2697*E2697</f>
        <v>20263.77</v>
      </c>
    </row>
    <row r="2698" ht="14.45" customHeight="1" spans="1:6">
      <c r="A2698" s="7"/>
      <c r="B2698" s="7" t="s">
        <v>842</v>
      </c>
      <c r="C2698" s="7" t="s">
        <v>840</v>
      </c>
      <c r="D2698" s="69">
        <f>D2651</f>
        <v>5.77</v>
      </c>
      <c r="E2698" s="42">
        <v>551</v>
      </c>
      <c r="F2698" s="69">
        <f>D2698*E2698</f>
        <v>3179.27</v>
      </c>
    </row>
    <row r="2699" ht="14.45" customHeight="1" spans="1:6">
      <c r="A2699" s="7">
        <v>2</v>
      </c>
      <c r="B2699" s="7" t="s">
        <v>912</v>
      </c>
      <c r="C2699" s="7"/>
      <c r="D2699" s="34"/>
      <c r="E2699" s="34"/>
      <c r="F2699" s="34">
        <f>SUM(F2700:F2708)</f>
        <v>37889.43029832</v>
      </c>
    </row>
    <row r="2700" ht="14.45" customHeight="1" spans="1:6">
      <c r="A2700" s="7"/>
      <c r="B2700" s="273" t="s">
        <v>996</v>
      </c>
      <c r="C2700" s="273" t="s">
        <v>169</v>
      </c>
      <c r="D2700" s="34">
        <f>D2605</f>
        <v>2238.008025</v>
      </c>
      <c r="E2700" s="34">
        <v>6.17</v>
      </c>
      <c r="F2700" s="34">
        <f t="shared" ref="F2700:F2707" si="200">D2700*E2700</f>
        <v>13808.50951425</v>
      </c>
    </row>
    <row r="2701" ht="14.45" customHeight="1" spans="1:6">
      <c r="A2701" s="7"/>
      <c r="B2701" s="273" t="s">
        <v>1066</v>
      </c>
      <c r="C2701" s="273" t="s">
        <v>863</v>
      </c>
      <c r="D2701" s="34">
        <f t="shared" ref="D2701:D2707" si="201">D2606</f>
        <v>4.44</v>
      </c>
      <c r="E2701" s="34">
        <v>60</v>
      </c>
      <c r="F2701" s="34">
        <f t="shared" si="200"/>
        <v>266.4</v>
      </c>
    </row>
    <row r="2702" ht="14.45" customHeight="1" spans="1:6">
      <c r="A2702" s="7"/>
      <c r="B2702" s="273" t="s">
        <v>998</v>
      </c>
      <c r="C2702" s="273" t="s">
        <v>863</v>
      </c>
      <c r="D2702" s="34">
        <f t="shared" si="201"/>
        <v>4.5</v>
      </c>
      <c r="E2702" s="34">
        <v>60.8</v>
      </c>
      <c r="F2702" s="34">
        <f t="shared" si="200"/>
        <v>273.6</v>
      </c>
    </row>
    <row r="2703" ht="14.45" customHeight="1" spans="1:6">
      <c r="A2703" s="7"/>
      <c r="B2703" s="273" t="s">
        <v>1000</v>
      </c>
      <c r="C2703" s="273" t="s">
        <v>863</v>
      </c>
      <c r="D2703" s="34">
        <f t="shared" si="201"/>
        <v>4.5</v>
      </c>
      <c r="E2703" s="34">
        <v>276</v>
      </c>
      <c r="F2703" s="34">
        <f t="shared" si="200"/>
        <v>1242</v>
      </c>
    </row>
    <row r="2704" ht="14.45" customHeight="1" spans="1:6">
      <c r="A2704" s="7"/>
      <c r="B2704" s="273" t="s">
        <v>1001</v>
      </c>
      <c r="C2704" s="273" t="s">
        <v>863</v>
      </c>
      <c r="D2704" s="34">
        <f t="shared" si="201"/>
        <v>6.39</v>
      </c>
      <c r="E2704" s="34">
        <v>302.4</v>
      </c>
      <c r="F2704" s="34">
        <f t="shared" si="200"/>
        <v>1932.336</v>
      </c>
    </row>
    <row r="2705" ht="14.45" customHeight="1" spans="1:6">
      <c r="A2705" s="7"/>
      <c r="B2705" s="273" t="s">
        <v>1002</v>
      </c>
      <c r="C2705" s="273" t="s">
        <v>863</v>
      </c>
      <c r="D2705" s="34">
        <f t="shared" si="201"/>
        <v>5.97</v>
      </c>
      <c r="E2705" s="34">
        <v>5.8</v>
      </c>
      <c r="F2705" s="34">
        <f t="shared" si="200"/>
        <v>34.626</v>
      </c>
    </row>
    <row r="2706" ht="14.45" customHeight="1" spans="1:6">
      <c r="A2706" s="7"/>
      <c r="B2706" s="7" t="s">
        <v>1016</v>
      </c>
      <c r="C2706" s="7" t="s">
        <v>169</v>
      </c>
      <c r="D2706" s="34">
        <f t="shared" si="201"/>
        <v>188.0418245</v>
      </c>
      <c r="E2706" s="34">
        <v>103</v>
      </c>
      <c r="F2706" s="34">
        <f t="shared" si="200"/>
        <v>19368.3079235</v>
      </c>
    </row>
    <row r="2707" ht="14.45" customHeight="1" spans="1:6">
      <c r="A2707" s="7"/>
      <c r="B2707" s="7" t="s">
        <v>913</v>
      </c>
      <c r="C2707" s="7" t="s">
        <v>169</v>
      </c>
      <c r="D2707" s="34">
        <f t="shared" si="201"/>
        <v>3.59</v>
      </c>
      <c r="E2707" s="34">
        <v>70</v>
      </c>
      <c r="F2707" s="34">
        <f t="shared" si="200"/>
        <v>251.3</v>
      </c>
    </row>
    <row r="2708" ht="14.45" customHeight="1" spans="1:6">
      <c r="A2708" s="7"/>
      <c r="B2708" s="7" t="s">
        <v>1004</v>
      </c>
      <c r="C2708" s="9" t="s">
        <v>845</v>
      </c>
      <c r="D2708" s="34">
        <f>F2700+F2701+F2702+F2703+F2704+F2705+F2707</f>
        <v>17808.77151425</v>
      </c>
      <c r="E2708" s="34">
        <v>4</v>
      </c>
      <c r="F2708" s="34">
        <f>D2708*E2708/100</f>
        <v>712.35086057</v>
      </c>
    </row>
    <row r="2709" ht="14.45" customHeight="1" spans="1:6">
      <c r="A2709" s="7">
        <v>3</v>
      </c>
      <c r="B2709" s="7" t="s">
        <v>859</v>
      </c>
      <c r="C2709" s="7"/>
      <c r="D2709" s="34"/>
      <c r="E2709" s="34"/>
      <c r="F2709" s="34">
        <f>SUM(F2710:F2717)</f>
        <v>1023.50347279458</v>
      </c>
    </row>
    <row r="2710" ht="14.45" customHeight="1" spans="1:6">
      <c r="A2710" s="7"/>
      <c r="B2710" s="7" t="s">
        <v>1009</v>
      </c>
      <c r="C2710" s="7" t="s">
        <v>428</v>
      </c>
      <c r="D2710" s="34">
        <f>D2615</f>
        <v>1.82152692461109</v>
      </c>
      <c r="E2710" s="34">
        <v>38.88</v>
      </c>
      <c r="F2710" s="34">
        <f t="shared" ref="F2710:F2716" si="202">D2710*E2710</f>
        <v>70.8209668288792</v>
      </c>
    </row>
    <row r="2711" ht="14.45" customHeight="1" spans="1:6">
      <c r="A2711" s="7"/>
      <c r="B2711" s="279" t="s">
        <v>1079</v>
      </c>
      <c r="C2711" s="7" t="s">
        <v>428</v>
      </c>
      <c r="D2711" s="34">
        <f t="shared" ref="D2711:D2716" si="203">D2616</f>
        <v>23.9179521340247</v>
      </c>
      <c r="E2711" s="34">
        <v>18.54</v>
      </c>
      <c r="F2711" s="34">
        <f t="shared" si="202"/>
        <v>443.438832564818</v>
      </c>
    </row>
    <row r="2712" ht="14.45" customHeight="1" spans="1:6">
      <c r="A2712" s="7"/>
      <c r="B2712" s="279" t="s">
        <v>1095</v>
      </c>
      <c r="C2712" s="7" t="s">
        <v>428</v>
      </c>
      <c r="D2712" s="34">
        <f t="shared" si="203"/>
        <v>37.5880167530913</v>
      </c>
      <c r="E2712" s="251">
        <v>4</v>
      </c>
      <c r="F2712" s="34">
        <f t="shared" si="202"/>
        <v>150.352067012365</v>
      </c>
    </row>
    <row r="2713" ht="14.45" customHeight="1" spans="1:6">
      <c r="A2713" s="7"/>
      <c r="B2713" s="7" t="s">
        <v>967</v>
      </c>
      <c r="C2713" s="7" t="s">
        <v>428</v>
      </c>
      <c r="D2713" s="34">
        <f t="shared" si="203"/>
        <v>0.813242919824491</v>
      </c>
      <c r="E2713" s="251">
        <v>86.4</v>
      </c>
      <c r="F2713" s="34">
        <f t="shared" si="202"/>
        <v>70.2641882728361</v>
      </c>
    </row>
    <row r="2714" ht="14.45" customHeight="1" spans="1:6">
      <c r="A2714" s="7"/>
      <c r="B2714" s="7" t="s">
        <v>1005</v>
      </c>
      <c r="C2714" s="7" t="s">
        <v>428</v>
      </c>
      <c r="D2714" s="34">
        <f t="shared" si="203"/>
        <v>49.389824491424</v>
      </c>
      <c r="E2714" s="251">
        <v>0.96</v>
      </c>
      <c r="F2714" s="34">
        <f t="shared" si="202"/>
        <v>47.4142315117671</v>
      </c>
    </row>
    <row r="2715" ht="14.45" customHeight="1" spans="1:6">
      <c r="A2715" s="7"/>
      <c r="B2715" s="273" t="s">
        <v>1088</v>
      </c>
      <c r="C2715" s="7" t="s">
        <v>428</v>
      </c>
      <c r="D2715" s="34">
        <f t="shared" si="203"/>
        <v>62.3342780215397</v>
      </c>
      <c r="E2715" s="251">
        <v>0.36</v>
      </c>
      <c r="F2715" s="34">
        <f t="shared" si="202"/>
        <v>22.4403400877543</v>
      </c>
    </row>
    <row r="2716" ht="14.45" customHeight="1" spans="1:6">
      <c r="A2716" s="7"/>
      <c r="B2716" s="273" t="s">
        <v>1080</v>
      </c>
      <c r="C2716" s="7" t="s">
        <v>428</v>
      </c>
      <c r="D2716" s="34">
        <f t="shared" si="203"/>
        <v>8.3371858795373</v>
      </c>
      <c r="E2716" s="251">
        <v>5.78</v>
      </c>
      <c r="F2716" s="34">
        <f t="shared" si="202"/>
        <v>48.1889343837256</v>
      </c>
    </row>
    <row r="2717" ht="14.45" customHeight="1" spans="1:6">
      <c r="A2717" s="7"/>
      <c r="B2717" s="7" t="s">
        <v>918</v>
      </c>
      <c r="C2717" s="9" t="s">
        <v>845</v>
      </c>
      <c r="D2717" s="34">
        <f>SUM(F2710:F2716)</f>
        <v>852.919560662146</v>
      </c>
      <c r="E2717" s="34">
        <v>20</v>
      </c>
      <c r="F2717" s="34">
        <f>D2717*E2717/100</f>
        <v>170.583912132429</v>
      </c>
    </row>
    <row r="2718" ht="14.45" customHeight="1" spans="1:6">
      <c r="A2718" s="7">
        <v>4</v>
      </c>
      <c r="B2718" s="7" t="s">
        <v>1010</v>
      </c>
      <c r="C2718" s="9"/>
      <c r="D2718" s="34"/>
      <c r="E2718" s="34"/>
      <c r="F2718" s="34">
        <f>SUM(F2719:F2720)</f>
        <v>1991.65619138815</v>
      </c>
    </row>
    <row r="2719" ht="14.45" customHeight="1" spans="1:6">
      <c r="A2719" s="7"/>
      <c r="B2719" s="123" t="s">
        <v>681</v>
      </c>
      <c r="C2719" s="123" t="s">
        <v>169</v>
      </c>
      <c r="D2719" s="274">
        <f>$F$2795/100</f>
        <v>5.03319379720782</v>
      </c>
      <c r="E2719" s="274">
        <v>103</v>
      </c>
      <c r="F2719" s="34">
        <f>D2719*E2719</f>
        <v>518.418961112405</v>
      </c>
    </row>
    <row r="2720" ht="14.45" customHeight="1" spans="1:6">
      <c r="A2720" s="7"/>
      <c r="B2720" s="123" t="s">
        <v>682</v>
      </c>
      <c r="C2720" s="123" t="s">
        <v>169</v>
      </c>
      <c r="D2720" s="274">
        <f>$F$2813/100</f>
        <v>14.303274080347</v>
      </c>
      <c r="E2720" s="274">
        <v>103</v>
      </c>
      <c r="F2720" s="34">
        <f>D2720*E2720</f>
        <v>1473.23723027574</v>
      </c>
    </row>
    <row r="2721" ht="14.45" customHeight="1" spans="1:6">
      <c r="A2721" s="7" t="s">
        <v>564</v>
      </c>
      <c r="B2721" s="7" t="s">
        <v>846</v>
      </c>
      <c r="C2721" s="230">
        <f>取费表!$C$7</f>
        <v>0.048</v>
      </c>
      <c r="D2721" s="274"/>
      <c r="E2721" s="274">
        <f>F2695</f>
        <v>64347.6299625027</v>
      </c>
      <c r="F2721" s="34">
        <f>E2721*C2721</f>
        <v>3088.68623820013</v>
      </c>
    </row>
    <row r="2722" ht="14.45" customHeight="1" spans="1:6">
      <c r="A2722" s="7"/>
      <c r="B2722" s="7"/>
      <c r="C2722" s="230"/>
      <c r="D2722" s="274"/>
      <c r="E2722" s="274"/>
      <c r="F2722" s="34"/>
    </row>
    <row r="2723" ht="14.45" customHeight="1" spans="1:6">
      <c r="A2723" s="7" t="s">
        <v>439</v>
      </c>
      <c r="B2723" s="7" t="s">
        <v>847</v>
      </c>
      <c r="C2723" s="230">
        <f>取费表!$E$7</f>
        <v>0.07</v>
      </c>
      <c r="D2723" s="274"/>
      <c r="E2723" s="274">
        <f>F2694</f>
        <v>67436.3162007029</v>
      </c>
      <c r="F2723" s="34">
        <f>E2723*C2723</f>
        <v>4720.5421340492</v>
      </c>
    </row>
    <row r="2724" ht="14.45" customHeight="1" spans="1:6">
      <c r="A2724" s="7" t="s">
        <v>83</v>
      </c>
      <c r="B2724" s="7" t="s">
        <v>848</v>
      </c>
      <c r="C2724" s="230">
        <f>取费表!$F$7</f>
        <v>0.07</v>
      </c>
      <c r="D2724" s="274"/>
      <c r="E2724" s="274">
        <f>F2723+F2694</f>
        <v>72156.8583347521</v>
      </c>
      <c r="F2724" s="34">
        <f>E2724*C2724</f>
        <v>5050.98008343265</v>
      </c>
    </row>
    <row r="2725" ht="14.45" customHeight="1" spans="1:6">
      <c r="A2725" s="7" t="s">
        <v>121</v>
      </c>
      <c r="B2725" s="7" t="s">
        <v>861</v>
      </c>
      <c r="C2725" s="9"/>
      <c r="D2725" s="34"/>
      <c r="E2725" s="7"/>
      <c r="F2725" s="69">
        <f>F2726+F2731</f>
        <v>14545.7181466043</v>
      </c>
    </row>
    <row r="2726" ht="14.45" customHeight="1" spans="1:6">
      <c r="A2726" s="7">
        <v>1</v>
      </c>
      <c r="B2726" s="7" t="s">
        <v>1011</v>
      </c>
      <c r="C2726" s="9"/>
      <c r="D2726" s="34"/>
      <c r="E2726" s="7"/>
      <c r="F2726" s="69">
        <f>SUM(F2727:F2730)</f>
        <v>14286.7719466043</v>
      </c>
    </row>
    <row r="2727" ht="14.45" customHeight="1" spans="1:6">
      <c r="A2727" s="7"/>
      <c r="B2727" s="7"/>
      <c r="C2727" s="7"/>
      <c r="D2727" s="34"/>
      <c r="E2727" s="34"/>
      <c r="F2727" s="69"/>
    </row>
    <row r="2728" ht="14.45" customHeight="1" spans="1:6">
      <c r="A2728" s="7"/>
      <c r="B2728" s="7" t="s">
        <v>983</v>
      </c>
      <c r="C2728" s="7" t="s">
        <v>200</v>
      </c>
      <c r="D2728" s="34">
        <f>材料预算价!K6-材料预算价!L6</f>
        <v>265.23946</v>
      </c>
      <c r="E2728" s="34">
        <f t="shared" ref="E2728:E2733" si="204">E2633</f>
        <v>37.58161</v>
      </c>
      <c r="F2728" s="69">
        <f>D2728*E2728</f>
        <v>9968.1259423306</v>
      </c>
    </row>
    <row r="2729" ht="14.45" customHeight="1" spans="1:6">
      <c r="A2729" s="7"/>
      <c r="B2729" s="7" t="s">
        <v>961</v>
      </c>
      <c r="C2729" s="7" t="s">
        <v>169</v>
      </c>
      <c r="D2729" s="34">
        <f>D2634</f>
        <v>34.366056</v>
      </c>
      <c r="E2729" s="34">
        <f t="shared" si="204"/>
        <v>52.18598</v>
      </c>
      <c r="F2729" s="69">
        <f>D2729*E2729</f>
        <v>1793.42631109488</v>
      </c>
    </row>
    <row r="2730" ht="14.45" customHeight="1" spans="1:6">
      <c r="A2730" s="7"/>
      <c r="B2730" s="7" t="s">
        <v>1012</v>
      </c>
      <c r="C2730" s="7" t="s">
        <v>169</v>
      </c>
      <c r="D2730" s="34">
        <f>D2635</f>
        <v>29.13701</v>
      </c>
      <c r="E2730" s="34">
        <f t="shared" si="204"/>
        <v>86.667084</v>
      </c>
      <c r="F2730" s="69">
        <f>D2730*E2730</f>
        <v>2525.21969317884</v>
      </c>
    </row>
    <row r="2731" ht="14.45" customHeight="1" spans="1:6">
      <c r="A2731" s="7">
        <v>2</v>
      </c>
      <c r="B2731" s="7" t="s">
        <v>1013</v>
      </c>
      <c r="C2731" s="7"/>
      <c r="D2731" s="34"/>
      <c r="E2731" s="34">
        <f t="shared" si="204"/>
        <v>0</v>
      </c>
      <c r="F2731" s="69">
        <f>SUM(F2732:F2733)</f>
        <v>258.9462</v>
      </c>
    </row>
    <row r="2732" ht="14.45" customHeight="1" spans="1:6">
      <c r="A2732" s="7"/>
      <c r="B2732" s="7" t="s">
        <v>1014</v>
      </c>
      <c r="C2732" s="7" t="s">
        <v>863</v>
      </c>
      <c r="D2732" s="34">
        <f>D2637</f>
        <v>5.925</v>
      </c>
      <c r="E2732" s="34">
        <f t="shared" si="204"/>
        <v>43.704</v>
      </c>
      <c r="F2732" s="69">
        <f>D2732*E2732</f>
        <v>258.9462</v>
      </c>
    </row>
    <row r="2733" ht="14.45" customHeight="1" spans="1:6">
      <c r="A2733" s="7"/>
      <c r="B2733" s="7" t="s">
        <v>862</v>
      </c>
      <c r="C2733" s="7" t="s">
        <v>863</v>
      </c>
      <c r="D2733" s="34">
        <f>D2638</f>
        <v>0</v>
      </c>
      <c r="E2733" s="34">
        <f t="shared" si="204"/>
        <v>0</v>
      </c>
      <c r="F2733" s="69">
        <f>D2733*E2733</f>
        <v>0</v>
      </c>
    </row>
    <row r="2734" ht="14.45" customHeight="1" spans="1:6">
      <c r="A2734" s="7" t="s">
        <v>135</v>
      </c>
      <c r="B2734" s="7" t="s">
        <v>849</v>
      </c>
      <c r="C2734" s="231">
        <f>C2686</f>
        <v>0.09</v>
      </c>
      <c r="D2734" s="34"/>
      <c r="E2734" s="34">
        <f>F2725+F2724+F2723+F2694</f>
        <v>91753.556564789</v>
      </c>
      <c r="F2734" s="34">
        <f>E2734*C2734</f>
        <v>8257.82009083101</v>
      </c>
    </row>
    <row r="2735" ht="14.45" customHeight="1" spans="1:6">
      <c r="A2735" s="7"/>
      <c r="B2735" s="7" t="s">
        <v>850</v>
      </c>
      <c r="C2735" s="231"/>
      <c r="D2735" s="34"/>
      <c r="E2735" s="34"/>
      <c r="F2735" s="34">
        <f>(F2694+F2723+F2724+F2725+F2734)*取费表!H7</f>
        <v>3000.3412996686</v>
      </c>
    </row>
    <row r="2736" ht="14.45" customHeight="1" spans="1:6">
      <c r="A2736" s="7"/>
      <c r="B2736" s="7" t="s">
        <v>156</v>
      </c>
      <c r="C2736" s="7"/>
      <c r="D2736" s="34"/>
      <c r="E2736" s="34"/>
      <c r="F2736" s="34">
        <f>F2734+E2734+F2735</f>
        <v>103011.717955289</v>
      </c>
    </row>
    <row r="2737" ht="14.85" customHeight="1" spans="1:6">
      <c r="A2737" s="248" t="s">
        <v>881</v>
      </c>
      <c r="B2737" s="225"/>
      <c r="C2737" s="225"/>
      <c r="D2737" s="225"/>
      <c r="E2737" s="225"/>
      <c r="F2737" s="225"/>
    </row>
    <row r="2738" ht="14.85" customHeight="1" spans="1:6">
      <c r="A2738" s="278" t="s">
        <v>1101</v>
      </c>
      <c r="B2738" s="272"/>
      <c r="C2738" s="272"/>
      <c r="D2738" s="272"/>
      <c r="E2738" s="272"/>
      <c r="F2738" s="272"/>
    </row>
    <row r="2739" ht="14.85" customHeight="1" spans="1:6">
      <c r="A2739" s="227" t="s">
        <v>1093</v>
      </c>
      <c r="B2739" s="228"/>
      <c r="C2739" s="272"/>
      <c r="D2739" s="272"/>
      <c r="E2739" s="228" t="s">
        <v>832</v>
      </c>
      <c r="F2739" s="228"/>
    </row>
    <row r="2740" ht="14.85" customHeight="1" spans="1:6">
      <c r="A2740" s="146" t="s">
        <v>911</v>
      </c>
      <c r="B2740" s="233"/>
      <c r="C2740" s="233"/>
      <c r="D2740" s="233"/>
      <c r="E2740" s="233"/>
      <c r="F2740" s="147"/>
    </row>
    <row r="2741" ht="14.85" customHeight="1" spans="1:6">
      <c r="A2741" s="7" t="s">
        <v>104</v>
      </c>
      <c r="B2741" s="7" t="s">
        <v>835</v>
      </c>
      <c r="C2741" s="7" t="s">
        <v>159</v>
      </c>
      <c r="D2741" s="7" t="s">
        <v>422</v>
      </c>
      <c r="E2741" s="7" t="s">
        <v>160</v>
      </c>
      <c r="F2741" s="7" t="s">
        <v>18</v>
      </c>
    </row>
    <row r="2742" ht="14.85" customHeight="1" spans="1:6">
      <c r="A2742" s="7" t="s">
        <v>836</v>
      </c>
      <c r="B2742" s="7" t="s">
        <v>837</v>
      </c>
      <c r="C2742" s="7"/>
      <c r="D2742" s="7"/>
      <c r="E2742" s="7"/>
      <c r="F2742" s="34">
        <f>F2743+F2768+F2769</f>
        <v>36932.0444852117</v>
      </c>
    </row>
    <row r="2743" ht="14.85" customHeight="1" spans="1:6">
      <c r="A2743" s="7" t="s">
        <v>539</v>
      </c>
      <c r="B2743" s="7" t="s">
        <v>838</v>
      </c>
      <c r="C2743" s="7"/>
      <c r="D2743" s="7"/>
      <c r="E2743" s="7"/>
      <c r="F2743" s="34">
        <f>F2744+F2747+F2757+F2765</f>
        <v>35240.5004629883</v>
      </c>
    </row>
    <row r="2744" ht="14.85" customHeight="1" spans="1:6">
      <c r="A2744" s="7">
        <v>1</v>
      </c>
      <c r="B2744" s="7" t="s">
        <v>839</v>
      </c>
      <c r="C2744" s="7" t="s">
        <v>840</v>
      </c>
      <c r="D2744" s="34"/>
      <c r="E2744" s="69">
        <f>SUM(E2745:E2746)</f>
        <v>1593.2</v>
      </c>
      <c r="F2744" s="69">
        <f>SUM(F2745:F2746)</f>
        <v>12061.46</v>
      </c>
    </row>
    <row r="2745" ht="14.85" customHeight="1" spans="1:6">
      <c r="A2745" s="7"/>
      <c r="B2745" s="7" t="s">
        <v>841</v>
      </c>
      <c r="C2745" s="7" t="s">
        <v>840</v>
      </c>
      <c r="D2745" s="69">
        <f>D2697</f>
        <v>8.1</v>
      </c>
      <c r="E2745" s="42">
        <v>1231.2</v>
      </c>
      <c r="F2745" s="69">
        <f>D2745*E2745</f>
        <v>9972.72</v>
      </c>
    </row>
    <row r="2746" ht="14.85" customHeight="1" spans="1:6">
      <c r="A2746" s="7"/>
      <c r="B2746" s="7" t="s">
        <v>842</v>
      </c>
      <c r="C2746" s="7" t="s">
        <v>840</v>
      </c>
      <c r="D2746" s="69">
        <f>D2698</f>
        <v>5.77</v>
      </c>
      <c r="E2746" s="42">
        <v>362</v>
      </c>
      <c r="F2746" s="69">
        <f>D2746*E2746</f>
        <v>2088.74</v>
      </c>
    </row>
    <row r="2747" ht="14.85" customHeight="1" spans="1:6">
      <c r="A2747" s="7">
        <v>2</v>
      </c>
      <c r="B2747" s="7" t="s">
        <v>912</v>
      </c>
      <c r="C2747" s="7"/>
      <c r="D2747" s="34"/>
      <c r="E2747" s="34"/>
      <c r="F2747" s="34">
        <f>SUM(F2748:F2756)</f>
        <v>20502.25645194</v>
      </c>
    </row>
    <row r="2748" ht="14.85" customHeight="1" spans="1:6">
      <c r="A2748" s="7"/>
      <c r="B2748" s="273" t="s">
        <v>996</v>
      </c>
      <c r="C2748" s="273" t="s">
        <v>169</v>
      </c>
      <c r="D2748" s="34">
        <f t="shared" ref="D2748:D2755" si="205">D2700</f>
        <v>2238.008025</v>
      </c>
      <c r="E2748" s="34">
        <v>0.14</v>
      </c>
      <c r="F2748" s="34">
        <f t="shared" ref="F2748:F2755" si="206">D2748*E2748</f>
        <v>313.3211235</v>
      </c>
    </row>
    <row r="2749" ht="14.85" customHeight="1" spans="1:6">
      <c r="A2749" s="7"/>
      <c r="B2749" s="273" t="s">
        <v>1066</v>
      </c>
      <c r="C2749" s="273" t="s">
        <v>863</v>
      </c>
      <c r="D2749" s="34">
        <f t="shared" si="205"/>
        <v>4.44</v>
      </c>
      <c r="E2749" s="34">
        <v>13.1</v>
      </c>
      <c r="F2749" s="34">
        <f t="shared" si="206"/>
        <v>58.164</v>
      </c>
    </row>
    <row r="2750" ht="14.85" customHeight="1" spans="1:6">
      <c r="A2750" s="7"/>
      <c r="B2750" s="273" t="s">
        <v>998</v>
      </c>
      <c r="C2750" s="273" t="s">
        <v>863</v>
      </c>
      <c r="D2750" s="34">
        <f t="shared" si="205"/>
        <v>4.5</v>
      </c>
      <c r="E2750" s="34">
        <v>13.2</v>
      </c>
      <c r="F2750" s="34">
        <f t="shared" si="206"/>
        <v>59.4</v>
      </c>
    </row>
    <row r="2751" ht="14.85" customHeight="1" spans="1:6">
      <c r="A2751" s="7"/>
      <c r="B2751" s="273" t="s">
        <v>1000</v>
      </c>
      <c r="C2751" s="273" t="s">
        <v>863</v>
      </c>
      <c r="D2751" s="34">
        <f t="shared" si="205"/>
        <v>4.5</v>
      </c>
      <c r="E2751" s="34">
        <v>14.7</v>
      </c>
      <c r="F2751" s="34">
        <f t="shared" si="206"/>
        <v>66.15</v>
      </c>
    </row>
    <row r="2752" ht="14.85" customHeight="1" spans="1:6">
      <c r="A2752" s="7"/>
      <c r="B2752" s="273" t="s">
        <v>1001</v>
      </c>
      <c r="C2752" s="273" t="s">
        <v>863</v>
      </c>
      <c r="D2752" s="34">
        <f t="shared" si="205"/>
        <v>6.39</v>
      </c>
      <c r="E2752" s="34">
        <v>52.4</v>
      </c>
      <c r="F2752" s="34">
        <f t="shared" si="206"/>
        <v>334.836</v>
      </c>
    </row>
    <row r="2753" ht="14.85" customHeight="1" spans="1:6">
      <c r="A2753" s="7"/>
      <c r="B2753" s="273" t="s">
        <v>1002</v>
      </c>
      <c r="C2753" s="273" t="s">
        <v>863</v>
      </c>
      <c r="D2753" s="34">
        <f t="shared" si="205"/>
        <v>5.97</v>
      </c>
      <c r="E2753" s="34">
        <v>1.2</v>
      </c>
      <c r="F2753" s="34">
        <f t="shared" si="206"/>
        <v>7.164</v>
      </c>
    </row>
    <row r="2754" ht="14.85" customHeight="1" spans="1:6">
      <c r="A2754" s="7"/>
      <c r="B2754" s="7" t="s">
        <v>1102</v>
      </c>
      <c r="C2754" s="7" t="s">
        <v>169</v>
      </c>
      <c r="D2754" s="34">
        <f t="shared" si="205"/>
        <v>188.0418245</v>
      </c>
      <c r="E2754" s="34">
        <v>103</v>
      </c>
      <c r="F2754" s="34">
        <f t="shared" si="206"/>
        <v>19368.3079235</v>
      </c>
    </row>
    <row r="2755" ht="14.85" customHeight="1" spans="1:6">
      <c r="A2755" s="7"/>
      <c r="B2755" s="7" t="s">
        <v>913</v>
      </c>
      <c r="C2755" s="7" t="s">
        <v>169</v>
      </c>
      <c r="D2755" s="34">
        <f t="shared" si="205"/>
        <v>3.59</v>
      </c>
      <c r="E2755" s="34">
        <v>70</v>
      </c>
      <c r="F2755" s="34">
        <f t="shared" si="206"/>
        <v>251.3</v>
      </c>
    </row>
    <row r="2756" ht="14.85" customHeight="1" spans="1:6">
      <c r="A2756" s="7"/>
      <c r="B2756" s="7" t="s">
        <v>1004</v>
      </c>
      <c r="C2756" s="9" t="s">
        <v>845</v>
      </c>
      <c r="D2756" s="34">
        <f>F2748+F2749+F2750+F2751+F2752+F2753+F2755</f>
        <v>1090.3351235</v>
      </c>
      <c r="E2756" s="34">
        <v>4</v>
      </c>
      <c r="F2756" s="34">
        <f>D2756*E2756/100</f>
        <v>43.61340494</v>
      </c>
    </row>
    <row r="2757" ht="14.85" customHeight="1" spans="1:6">
      <c r="A2757" s="7">
        <v>3</v>
      </c>
      <c r="B2757" s="7" t="s">
        <v>859</v>
      </c>
      <c r="C2757" s="7"/>
      <c r="D2757" s="34"/>
      <c r="E2757" s="34"/>
      <c r="F2757" s="34">
        <f>SUM(F2758:F2764)</f>
        <v>685.127819660151</v>
      </c>
    </row>
    <row r="2758" ht="14.85" customHeight="1" spans="1:6">
      <c r="A2758" s="7"/>
      <c r="B2758" s="7" t="s">
        <v>1009</v>
      </c>
      <c r="C2758" s="7" t="s">
        <v>428</v>
      </c>
      <c r="D2758" s="34">
        <f t="shared" ref="D2758:D2763" si="207">D2663</f>
        <v>1.82152692461109</v>
      </c>
      <c r="E2758" s="34">
        <v>23</v>
      </c>
      <c r="F2758" s="34">
        <f t="shared" ref="F2758:F2763" si="208">D2758*E2758</f>
        <v>41.895119266055</v>
      </c>
    </row>
    <row r="2759" ht="14.85" customHeight="1" spans="1:6">
      <c r="A2759" s="7"/>
      <c r="B2759" s="279" t="s">
        <v>1079</v>
      </c>
      <c r="C2759" s="7" t="s">
        <v>428</v>
      </c>
      <c r="D2759" s="34">
        <f t="shared" si="207"/>
        <v>23.9179521340247</v>
      </c>
      <c r="E2759" s="34">
        <v>18.54</v>
      </c>
      <c r="F2759" s="34">
        <f t="shared" si="208"/>
        <v>443.438832564818</v>
      </c>
    </row>
    <row r="2760" ht="14.85" customHeight="1" spans="1:6">
      <c r="A2760" s="7"/>
      <c r="B2760" s="7" t="s">
        <v>967</v>
      </c>
      <c r="C2760" s="7" t="s">
        <v>428</v>
      </c>
      <c r="D2760" s="34">
        <f t="shared" si="207"/>
        <v>0.813242919824491</v>
      </c>
      <c r="E2760" s="251">
        <v>75.2</v>
      </c>
      <c r="F2760" s="34">
        <f t="shared" si="208"/>
        <v>61.1558675708018</v>
      </c>
    </row>
    <row r="2761" ht="14.85" customHeight="1" spans="1:6">
      <c r="A2761" s="7"/>
      <c r="B2761" s="7" t="s">
        <v>1005</v>
      </c>
      <c r="C2761" s="7" t="s">
        <v>428</v>
      </c>
      <c r="D2761" s="34">
        <f t="shared" si="207"/>
        <v>49.389824491424</v>
      </c>
      <c r="E2761" s="251">
        <v>0.21</v>
      </c>
      <c r="F2761" s="34">
        <f t="shared" si="208"/>
        <v>10.371863143199</v>
      </c>
    </row>
    <row r="2762" ht="14.85" customHeight="1" spans="1:6">
      <c r="A2762" s="7"/>
      <c r="B2762" s="273" t="s">
        <v>1088</v>
      </c>
      <c r="C2762" s="7" t="s">
        <v>428</v>
      </c>
      <c r="D2762" s="34">
        <f t="shared" si="207"/>
        <v>62.3342780215397</v>
      </c>
      <c r="E2762" s="251">
        <v>0.06</v>
      </c>
      <c r="F2762" s="34">
        <f t="shared" si="208"/>
        <v>3.74005668129238</v>
      </c>
    </row>
    <row r="2763" ht="14.85" customHeight="1" spans="1:6">
      <c r="A2763" s="7"/>
      <c r="B2763" s="273" t="s">
        <v>1080</v>
      </c>
      <c r="C2763" s="7" t="s">
        <v>428</v>
      </c>
      <c r="D2763" s="34">
        <f t="shared" si="207"/>
        <v>8.3371858795373</v>
      </c>
      <c r="E2763" s="251">
        <v>1.24</v>
      </c>
      <c r="F2763" s="34">
        <f t="shared" si="208"/>
        <v>10.3381104906262</v>
      </c>
    </row>
    <row r="2764" ht="14.85" customHeight="1" spans="1:6">
      <c r="A2764" s="7"/>
      <c r="B2764" s="7" t="s">
        <v>918</v>
      </c>
      <c r="C2764" s="9" t="s">
        <v>845</v>
      </c>
      <c r="D2764" s="34">
        <f>SUM(F2758:F2763)</f>
        <v>570.939849716793</v>
      </c>
      <c r="E2764" s="34">
        <v>20</v>
      </c>
      <c r="F2764" s="34">
        <f>D2764*E2764/100</f>
        <v>114.187969943359</v>
      </c>
    </row>
    <row r="2765" ht="14.85" customHeight="1" spans="1:6">
      <c r="A2765" s="5">
        <v>4</v>
      </c>
      <c r="B2765" s="5" t="s">
        <v>1010</v>
      </c>
      <c r="C2765" s="275"/>
      <c r="D2765" s="276"/>
      <c r="E2765" s="276"/>
      <c r="F2765" s="276">
        <f>SUM(F2766:F2767)</f>
        <v>1991.65619138815</v>
      </c>
    </row>
    <row r="2766" ht="14.85" customHeight="1" spans="1:6">
      <c r="A2766" s="7"/>
      <c r="B2766" s="123" t="s">
        <v>681</v>
      </c>
      <c r="C2766" s="123" t="s">
        <v>169</v>
      </c>
      <c r="D2766" s="274">
        <f>$F$2795/100</f>
        <v>5.03319379720782</v>
      </c>
      <c r="E2766" s="274">
        <v>103</v>
      </c>
      <c r="F2766" s="34">
        <f>D2766*E2766</f>
        <v>518.418961112405</v>
      </c>
    </row>
    <row r="2767" ht="14.85" customHeight="1" spans="1:6">
      <c r="A2767" s="7"/>
      <c r="B2767" s="123" t="s">
        <v>682</v>
      </c>
      <c r="C2767" s="123" t="s">
        <v>169</v>
      </c>
      <c r="D2767" s="274">
        <f>$F$2813/100</f>
        <v>14.303274080347</v>
      </c>
      <c r="E2767" s="274">
        <v>103</v>
      </c>
      <c r="F2767" s="34">
        <f>D2767*E2767</f>
        <v>1473.23723027574</v>
      </c>
    </row>
    <row r="2768" ht="14.85" customHeight="1" spans="1:6">
      <c r="A2768" s="7" t="s">
        <v>564</v>
      </c>
      <c r="B2768" s="7" t="s">
        <v>846</v>
      </c>
      <c r="C2768" s="230">
        <f>取费表!$C$7</f>
        <v>0.048</v>
      </c>
      <c r="D2768" s="274"/>
      <c r="E2768" s="274">
        <f>F2743</f>
        <v>35240.5004629883</v>
      </c>
      <c r="F2768" s="34">
        <f>E2768*C2768</f>
        <v>1691.54402222344</v>
      </c>
    </row>
    <row r="2769" ht="14.85" customHeight="1" spans="1:6">
      <c r="A2769" s="7"/>
      <c r="B2769" s="7"/>
      <c r="C2769" s="230"/>
      <c r="D2769" s="274"/>
      <c r="E2769" s="274"/>
      <c r="F2769" s="34"/>
    </row>
    <row r="2770" ht="14.85" customHeight="1" spans="1:6">
      <c r="A2770" s="7" t="s">
        <v>439</v>
      </c>
      <c r="B2770" s="7" t="s">
        <v>847</v>
      </c>
      <c r="C2770" s="230">
        <f>取费表!$E$7</f>
        <v>0.07</v>
      </c>
      <c r="D2770" s="274"/>
      <c r="E2770" s="274">
        <f>F2742</f>
        <v>36932.0444852117</v>
      </c>
      <c r="F2770" s="34">
        <f>E2770*C2770</f>
        <v>2585.24311396482</v>
      </c>
    </row>
    <row r="2771" ht="14.85" customHeight="1" spans="1:6">
      <c r="A2771" s="7" t="s">
        <v>83</v>
      </c>
      <c r="B2771" s="7" t="s">
        <v>848</v>
      </c>
      <c r="C2771" s="230">
        <f>取费表!$F$7</f>
        <v>0.07</v>
      </c>
      <c r="D2771" s="274"/>
      <c r="E2771" s="274">
        <f>F2770+F2742</f>
        <v>39517.2875991766</v>
      </c>
      <c r="F2771" s="34">
        <f>E2771*C2771</f>
        <v>2766.21013194236</v>
      </c>
    </row>
    <row r="2772" ht="14.85" customHeight="1" spans="1:6">
      <c r="A2772" s="5" t="s">
        <v>121</v>
      </c>
      <c r="B2772" s="5" t="s">
        <v>861</v>
      </c>
      <c r="C2772" s="275"/>
      <c r="D2772" s="276"/>
      <c r="E2772" s="5"/>
      <c r="F2772" s="277">
        <f>F2773+F2778</f>
        <v>14297.7924466043</v>
      </c>
    </row>
    <row r="2773" ht="14.85" customHeight="1" spans="1:6">
      <c r="A2773" s="7">
        <v>1</v>
      </c>
      <c r="B2773" s="7" t="s">
        <v>1011</v>
      </c>
      <c r="C2773" s="9"/>
      <c r="D2773" s="34"/>
      <c r="E2773" s="7"/>
      <c r="F2773" s="69">
        <f>SUM(F2774:F2777)</f>
        <v>14286.7719466043</v>
      </c>
    </row>
    <row r="2774" ht="14.85" customHeight="1" spans="1:6">
      <c r="A2774" s="7"/>
      <c r="B2774" s="7"/>
      <c r="C2774" s="7"/>
      <c r="D2774" s="34"/>
      <c r="E2774" s="34"/>
      <c r="F2774" s="69"/>
    </row>
    <row r="2775" ht="14.85" customHeight="1" spans="1:6">
      <c r="A2775" s="7"/>
      <c r="B2775" s="7" t="s">
        <v>983</v>
      </c>
      <c r="C2775" s="7" t="s">
        <v>200</v>
      </c>
      <c r="D2775" s="34">
        <f>D2728</f>
        <v>265.23946</v>
      </c>
      <c r="E2775" s="34">
        <f>E2680</f>
        <v>37.58161</v>
      </c>
      <c r="F2775" s="69">
        <f>D2775*E2775</f>
        <v>9968.1259423306</v>
      </c>
    </row>
    <row r="2776" ht="14.85" customHeight="1" spans="1:6">
      <c r="A2776" s="7"/>
      <c r="B2776" s="7" t="s">
        <v>961</v>
      </c>
      <c r="C2776" s="7" t="s">
        <v>169</v>
      </c>
      <c r="D2776" s="34">
        <f>D2681</f>
        <v>34.366056</v>
      </c>
      <c r="E2776" s="34">
        <f>E2681</f>
        <v>52.18598</v>
      </c>
      <c r="F2776" s="69">
        <f>D2776*E2776</f>
        <v>1793.42631109488</v>
      </c>
    </row>
    <row r="2777" ht="14.85" customHeight="1" spans="1:6">
      <c r="A2777" s="7"/>
      <c r="B2777" s="7" t="s">
        <v>1012</v>
      </c>
      <c r="C2777" s="7" t="s">
        <v>169</v>
      </c>
      <c r="D2777" s="34">
        <f>D2682</f>
        <v>29.13701</v>
      </c>
      <c r="E2777" s="34">
        <f>E2682</f>
        <v>86.667084</v>
      </c>
      <c r="F2777" s="69">
        <f>D2777*E2777</f>
        <v>2525.21969317884</v>
      </c>
    </row>
    <row r="2778" ht="14.85" customHeight="1" spans="1:6">
      <c r="A2778" s="7">
        <v>2</v>
      </c>
      <c r="B2778" s="7" t="s">
        <v>1013</v>
      </c>
      <c r="C2778" s="7"/>
      <c r="D2778" s="34"/>
      <c r="E2778" s="34"/>
      <c r="F2778" s="69">
        <f>SUM(F2779:F2780)</f>
        <v>11.0205</v>
      </c>
    </row>
    <row r="2779" ht="14.85" customHeight="1" spans="1:6">
      <c r="A2779" s="7"/>
      <c r="B2779" s="7" t="s">
        <v>1014</v>
      </c>
      <c r="C2779" s="7" t="s">
        <v>863</v>
      </c>
      <c r="D2779" s="34">
        <f>D2684</f>
        <v>5.925</v>
      </c>
      <c r="E2779" s="34">
        <f>E2684</f>
        <v>1.86</v>
      </c>
      <c r="F2779" s="69">
        <f>D2779*E2779</f>
        <v>11.0205</v>
      </c>
    </row>
    <row r="2780" ht="14.85" customHeight="1" spans="1:6">
      <c r="A2780" s="7"/>
      <c r="B2780" s="7" t="s">
        <v>862</v>
      </c>
      <c r="C2780" s="7" t="s">
        <v>863</v>
      </c>
      <c r="D2780" s="34">
        <f>D2685</f>
        <v>0</v>
      </c>
      <c r="E2780" s="34">
        <f>E2685</f>
        <v>0</v>
      </c>
      <c r="F2780" s="69">
        <f>D2780*E2780</f>
        <v>0</v>
      </c>
    </row>
    <row r="2781" ht="14.85" customHeight="1" spans="1:6">
      <c r="A2781" s="7" t="s">
        <v>135</v>
      </c>
      <c r="B2781" s="7" t="s">
        <v>849</v>
      </c>
      <c r="C2781" s="231">
        <f>C2734</f>
        <v>0.09</v>
      </c>
      <c r="D2781" s="34"/>
      <c r="E2781" s="34">
        <f>F2772+F2771+F2770+F2742</f>
        <v>56581.2901777232</v>
      </c>
      <c r="F2781" s="34">
        <f>E2781*C2781</f>
        <v>5092.31611599509</v>
      </c>
    </row>
    <row r="2782" ht="14.85" customHeight="1" spans="1:6">
      <c r="A2782" s="7"/>
      <c r="B2782" s="7" t="s">
        <v>850</v>
      </c>
      <c r="C2782" s="231"/>
      <c r="D2782" s="34"/>
      <c r="E2782" s="34"/>
      <c r="F2782" s="34">
        <f>(F2742+F2770+F2771+F2772+F2781)*取费表!H7</f>
        <v>1850.20818881155</v>
      </c>
    </row>
    <row r="2783" ht="14.85" customHeight="1" spans="1:6">
      <c r="A2783" s="7"/>
      <c r="B2783" s="7" t="s">
        <v>156</v>
      </c>
      <c r="C2783" s="7"/>
      <c r="D2783" s="34"/>
      <c r="E2783" s="34"/>
      <c r="F2783" s="34">
        <f>F2781+E2781+F2782</f>
        <v>63523.8144825299</v>
      </c>
    </row>
    <row r="2784" ht="20.1" customHeight="1" spans="1:6">
      <c r="A2784" s="248" t="s">
        <v>881</v>
      </c>
      <c r="B2784" s="225"/>
      <c r="C2784" s="225"/>
      <c r="D2784" s="225"/>
      <c r="E2784" s="225"/>
      <c r="F2784" s="225"/>
    </row>
    <row r="2785" ht="20.1" customHeight="1" spans="1:6">
      <c r="A2785" s="296" t="s">
        <v>1103</v>
      </c>
      <c r="B2785" s="296"/>
      <c r="C2785" s="296"/>
      <c r="D2785" s="296"/>
      <c r="E2785" s="296"/>
      <c r="F2785" s="296"/>
    </row>
    <row r="2786" ht="20.1" customHeight="1" spans="1:6">
      <c r="A2786" s="227" t="s">
        <v>1104</v>
      </c>
      <c r="B2786" s="228"/>
      <c r="C2786" s="272"/>
      <c r="D2786" s="272"/>
      <c r="E2786" s="228" t="s">
        <v>946</v>
      </c>
      <c r="F2786" s="228"/>
    </row>
    <row r="2787" ht="20.1" customHeight="1" spans="1:6">
      <c r="A2787" s="232" t="s">
        <v>911</v>
      </c>
      <c r="B2787" s="233"/>
      <c r="C2787" s="233"/>
      <c r="D2787" s="233"/>
      <c r="E2787" s="233"/>
      <c r="F2787" s="147"/>
    </row>
    <row r="2788" ht="20.1" customHeight="1" spans="1:6">
      <c r="A2788" s="7" t="s">
        <v>104</v>
      </c>
      <c r="B2788" s="7" t="s">
        <v>835</v>
      </c>
      <c r="C2788" s="7" t="s">
        <v>159</v>
      </c>
      <c r="D2788" s="7" t="s">
        <v>422</v>
      </c>
      <c r="E2788" s="7" t="s">
        <v>160</v>
      </c>
      <c r="F2788" s="7" t="s">
        <v>18</v>
      </c>
    </row>
    <row r="2789" s="216" customFormat="1" ht="20.1" customHeight="1" spans="1:6">
      <c r="A2789" s="7" t="s">
        <v>1105</v>
      </c>
      <c r="B2789" s="7" t="s">
        <v>839</v>
      </c>
      <c r="C2789" s="7" t="s">
        <v>840</v>
      </c>
      <c r="D2789" s="34"/>
      <c r="E2789" s="42">
        <f>SUM(E2790:E2791)</f>
        <v>74.4</v>
      </c>
      <c r="F2789" s="69">
        <f>SUM(F2790:F2791)</f>
        <v>429.288</v>
      </c>
    </row>
    <row r="2790" s="217" customFormat="1" ht="20.1" customHeight="1" spans="1:6">
      <c r="A2790" s="7"/>
      <c r="B2790" s="7" t="s">
        <v>841</v>
      </c>
      <c r="C2790" s="7" t="s">
        <v>840</v>
      </c>
      <c r="D2790" s="69">
        <f>材料预算价!K29</f>
        <v>8.1</v>
      </c>
      <c r="E2790" s="42">
        <v>0</v>
      </c>
      <c r="F2790" s="69">
        <f>D2790*E2790</f>
        <v>0</v>
      </c>
    </row>
    <row r="2791" s="217" customFormat="1" ht="20.1" customHeight="1" spans="1:6">
      <c r="A2791" s="7"/>
      <c r="B2791" s="7" t="s">
        <v>842</v>
      </c>
      <c r="C2791" s="7" t="s">
        <v>840</v>
      </c>
      <c r="D2791" s="69">
        <f>材料预算价!K28</f>
        <v>5.77</v>
      </c>
      <c r="E2791" s="42">
        <v>74.4</v>
      </c>
      <c r="F2791" s="69">
        <f>D2791*E2791</f>
        <v>429.288</v>
      </c>
    </row>
    <row r="2792" s="216" customFormat="1" ht="20.1" customHeight="1" spans="1:6">
      <c r="A2792" s="7" t="s">
        <v>1106</v>
      </c>
      <c r="B2792" s="7" t="s">
        <v>844</v>
      </c>
      <c r="C2792" s="7" t="s">
        <v>845</v>
      </c>
      <c r="D2792" s="34">
        <f>F2789+F2793</f>
        <v>474.829603510172</v>
      </c>
      <c r="E2792" s="34">
        <v>6</v>
      </c>
      <c r="F2792" s="34">
        <f>D2792*E2792/100</f>
        <v>28.4897762106103</v>
      </c>
    </row>
    <row r="2793" s="216" customFormat="1" ht="20.1" customHeight="1" spans="1:6">
      <c r="A2793" s="7" t="s">
        <v>1107</v>
      </c>
      <c r="B2793" s="7" t="s">
        <v>859</v>
      </c>
      <c r="C2793" s="7"/>
      <c r="D2793" s="34"/>
      <c r="E2793" s="34"/>
      <c r="F2793" s="34">
        <f>SUM(F2794:F2794)</f>
        <v>45.5416035101715</v>
      </c>
    </row>
    <row r="2794" s="216" customFormat="1" ht="20.1" customHeight="1" spans="1:6">
      <c r="A2794" s="7"/>
      <c r="B2794" s="7" t="s">
        <v>967</v>
      </c>
      <c r="C2794" s="7" t="s">
        <v>428</v>
      </c>
      <c r="D2794" s="34">
        <f>台时!C42</f>
        <v>0.813242919824491</v>
      </c>
      <c r="E2794" s="7">
        <v>56</v>
      </c>
      <c r="F2794" s="34">
        <f>D2794*E2794</f>
        <v>45.5416035101715</v>
      </c>
    </row>
    <row r="2795" s="216" customFormat="1" ht="20.1" customHeight="1" spans="1:6">
      <c r="A2795" s="7"/>
      <c r="B2795" s="7" t="s">
        <v>156</v>
      </c>
      <c r="C2795" s="7"/>
      <c r="D2795" s="34"/>
      <c r="E2795" s="34"/>
      <c r="F2795" s="34">
        <f>F2789+F2792+F2793</f>
        <v>503.319379720782</v>
      </c>
    </row>
    <row r="2796" s="216" customFormat="1" ht="20.1" customHeight="1" spans="1:6">
      <c r="A2796" s="7"/>
      <c r="B2796" s="7"/>
      <c r="C2796" s="7"/>
      <c r="D2796" s="34"/>
      <c r="E2796" s="34"/>
      <c r="F2796" s="34"/>
    </row>
    <row r="2797" s="216" customFormat="1" ht="20.1" customHeight="1" spans="1:6">
      <c r="A2797" s="7"/>
      <c r="B2797" s="7"/>
      <c r="C2797" s="7"/>
      <c r="D2797" s="34"/>
      <c r="E2797" s="34"/>
      <c r="F2797" s="34"/>
    </row>
    <row r="2798" s="216" customFormat="1" ht="20.1" customHeight="1" spans="1:6">
      <c r="A2798" s="7"/>
      <c r="B2798" s="7"/>
      <c r="C2798" s="7"/>
      <c r="D2798" s="34"/>
      <c r="E2798" s="34"/>
      <c r="F2798" s="34"/>
    </row>
    <row r="2799" s="216" customFormat="1" ht="20.1" customHeight="1" spans="1:6">
      <c r="A2799" s="7"/>
      <c r="B2799" s="7"/>
      <c r="C2799" s="7"/>
      <c r="D2799" s="34"/>
      <c r="E2799" s="34"/>
      <c r="F2799" s="34"/>
    </row>
    <row r="2800" s="216" customFormat="1" ht="20.1" customHeight="1" spans="1:6">
      <c r="A2800" s="7"/>
      <c r="B2800" s="7"/>
      <c r="C2800" s="7"/>
      <c r="D2800" s="34"/>
      <c r="E2800" s="34"/>
      <c r="F2800" s="34"/>
    </row>
    <row r="2801" ht="20.1" customHeight="1" spans="1:6">
      <c r="A2801" s="248" t="s">
        <v>881</v>
      </c>
      <c r="B2801" s="225"/>
      <c r="C2801" s="225"/>
      <c r="D2801" s="225"/>
      <c r="E2801" s="225"/>
      <c r="F2801" s="225"/>
    </row>
    <row r="2802" ht="20.1" customHeight="1" spans="1:6">
      <c r="A2802" s="296" t="s">
        <v>1108</v>
      </c>
      <c r="B2802" s="296"/>
      <c r="C2802" s="296"/>
      <c r="D2802" s="296"/>
      <c r="E2802" s="296"/>
      <c r="F2802" s="296"/>
    </row>
    <row r="2803" ht="20.1" customHeight="1" spans="1:6">
      <c r="A2803" s="227" t="s">
        <v>1109</v>
      </c>
      <c r="B2803" s="228"/>
      <c r="C2803" s="229"/>
      <c r="D2803" s="229"/>
      <c r="E2803" s="228" t="s">
        <v>832</v>
      </c>
      <c r="F2803" s="228"/>
    </row>
    <row r="2804" ht="20.1" customHeight="1" spans="1:6">
      <c r="A2804" s="232" t="s">
        <v>911</v>
      </c>
      <c r="B2804" s="233"/>
      <c r="C2804" s="233"/>
      <c r="D2804" s="233"/>
      <c r="E2804" s="233"/>
      <c r="F2804" s="147"/>
    </row>
    <row r="2805" ht="20.1" customHeight="1" spans="1:6">
      <c r="A2805" s="7" t="s">
        <v>104</v>
      </c>
      <c r="B2805" s="7" t="s">
        <v>835</v>
      </c>
      <c r="C2805" s="7" t="s">
        <v>159</v>
      </c>
      <c r="D2805" s="7" t="s">
        <v>422</v>
      </c>
      <c r="E2805" s="7" t="s">
        <v>160</v>
      </c>
      <c r="F2805" s="7" t="s">
        <v>18</v>
      </c>
    </row>
    <row r="2806" s="216" customFormat="1" ht="20.1" customHeight="1" spans="1:6">
      <c r="A2806" s="7" t="s">
        <v>836</v>
      </c>
      <c r="B2806" s="7" t="s">
        <v>839</v>
      </c>
      <c r="C2806" s="7" t="s">
        <v>840</v>
      </c>
      <c r="D2806" s="34"/>
      <c r="E2806" s="42">
        <f>SUM(E2807:E2808)</f>
        <v>83.7</v>
      </c>
      <c r="F2806" s="69">
        <f>SUM(F2807:F2808)</f>
        <v>640.923</v>
      </c>
    </row>
    <row r="2807" s="217" customFormat="1" ht="20.1" customHeight="1" spans="1:6">
      <c r="A2807" s="7"/>
      <c r="B2807" s="7" t="s">
        <v>841</v>
      </c>
      <c r="C2807" s="7" t="s">
        <v>840</v>
      </c>
      <c r="D2807" s="69">
        <f>D2790</f>
        <v>8.1</v>
      </c>
      <c r="E2807" s="42">
        <v>67.8</v>
      </c>
      <c r="F2807" s="69">
        <f t="shared" ref="F2807:F2812" si="209">D2807*E2807</f>
        <v>549.18</v>
      </c>
    </row>
    <row r="2808" s="217" customFormat="1" ht="20.1" customHeight="1" spans="1:6">
      <c r="A2808" s="7"/>
      <c r="B2808" s="7" t="s">
        <v>842</v>
      </c>
      <c r="C2808" s="7" t="s">
        <v>840</v>
      </c>
      <c r="D2808" s="69">
        <f>D2791</f>
        <v>5.77</v>
      </c>
      <c r="E2808" s="42">
        <v>15.9</v>
      </c>
      <c r="F2808" s="69">
        <f t="shared" si="209"/>
        <v>91.743</v>
      </c>
    </row>
    <row r="2809" s="216" customFormat="1" ht="20.1" customHeight="1" spans="1:6">
      <c r="A2809" s="7" t="s">
        <v>1110</v>
      </c>
      <c r="B2809" s="7" t="s">
        <v>844</v>
      </c>
      <c r="C2809" s="9" t="s">
        <v>845</v>
      </c>
      <c r="D2809" s="34">
        <f>F2806+F2810</f>
        <v>1349.36547927802</v>
      </c>
      <c r="E2809" s="34">
        <v>6</v>
      </c>
      <c r="F2809" s="34">
        <f>D2809*E2809/100</f>
        <v>80.9619287566813</v>
      </c>
    </row>
    <row r="2810" s="216" customFormat="1" ht="20.1" customHeight="1" spans="1:6">
      <c r="A2810" s="7" t="s">
        <v>1111</v>
      </c>
      <c r="B2810" s="7" t="s">
        <v>859</v>
      </c>
      <c r="C2810" s="7"/>
      <c r="D2810" s="34"/>
      <c r="E2810" s="34"/>
      <c r="F2810" s="34">
        <f>SUM(F2811:F2812)</f>
        <v>708.442479278022</v>
      </c>
    </row>
    <row r="2811" s="216" customFormat="1" ht="20.1" customHeight="1" spans="1:6">
      <c r="A2811" s="7"/>
      <c r="B2811" s="7" t="s">
        <v>1112</v>
      </c>
      <c r="C2811" s="147" t="s">
        <v>428</v>
      </c>
      <c r="D2811" s="34">
        <f>台时!G105</f>
        <v>63.0128005584364</v>
      </c>
      <c r="E2811" s="34">
        <v>11.05</v>
      </c>
      <c r="F2811" s="34">
        <f t="shared" si="209"/>
        <v>696.291446170722</v>
      </c>
    </row>
    <row r="2812" s="216" customFormat="1" ht="20.1" customHeight="1" spans="1:6">
      <c r="A2812" s="7"/>
      <c r="B2812" s="7" t="s">
        <v>1113</v>
      </c>
      <c r="C2812" s="7" t="s">
        <v>428</v>
      </c>
      <c r="D2812" s="34">
        <f>台时!D252</f>
        <v>1.09964100518548</v>
      </c>
      <c r="E2812" s="34">
        <v>11.05</v>
      </c>
      <c r="F2812" s="34">
        <f t="shared" si="209"/>
        <v>12.1510331072996</v>
      </c>
    </row>
    <row r="2813" s="216" customFormat="1" ht="20.1" customHeight="1" spans="1:6">
      <c r="A2813" s="7"/>
      <c r="B2813" s="7" t="s">
        <v>156</v>
      </c>
      <c r="C2813" s="7"/>
      <c r="D2813" s="34"/>
      <c r="E2813" s="34"/>
      <c r="F2813" s="34">
        <f>F2806+F2809+F2810</f>
        <v>1430.3274080347</v>
      </c>
    </row>
    <row r="2814" s="216" customFormat="1" ht="20.1" customHeight="1" spans="1:6">
      <c r="A2814" s="7"/>
      <c r="B2814" s="7"/>
      <c r="C2814" s="7"/>
      <c r="D2814" s="34"/>
      <c r="E2814" s="34"/>
      <c r="F2814" s="34"/>
    </row>
    <row r="2815" s="216" customFormat="1" ht="20.1" customHeight="1" spans="1:6">
      <c r="A2815" s="7"/>
      <c r="B2815" s="7"/>
      <c r="C2815" s="7"/>
      <c r="D2815" s="34"/>
      <c r="E2815" s="34"/>
      <c r="F2815" s="34"/>
    </row>
    <row r="2816" s="216" customFormat="1" ht="20.1" customHeight="1" spans="1:6">
      <c r="A2816" s="7"/>
      <c r="B2816" s="7"/>
      <c r="C2816" s="7"/>
      <c r="D2816" s="34"/>
      <c r="E2816" s="34"/>
      <c r="F2816" s="34"/>
    </row>
    <row r="2817" s="216" customFormat="1" ht="20.1" customHeight="1" spans="1:6">
      <c r="A2817" s="7"/>
      <c r="B2817" s="7"/>
      <c r="C2817" s="7"/>
      <c r="D2817" s="34"/>
      <c r="E2817" s="34"/>
      <c r="F2817" s="34"/>
    </row>
    <row r="2818" ht="15.95" customHeight="1" spans="1:6">
      <c r="A2818" s="224" t="s">
        <v>828</v>
      </c>
      <c r="B2818" s="225"/>
      <c r="C2818" s="225"/>
      <c r="D2818" s="225"/>
      <c r="E2818" s="225"/>
      <c r="F2818" s="225"/>
    </row>
    <row r="2819" ht="15.95" customHeight="1" spans="1:6">
      <c r="A2819" s="296" t="s">
        <v>1114</v>
      </c>
      <c r="B2819" s="296"/>
      <c r="C2819" s="296"/>
      <c r="D2819" s="296"/>
      <c r="E2819" s="296"/>
      <c r="F2819" s="296"/>
    </row>
    <row r="2820" ht="15.95" customHeight="1" spans="1:6">
      <c r="A2820" s="227" t="s">
        <v>1115</v>
      </c>
      <c r="B2820" s="228"/>
      <c r="C2820" s="272"/>
      <c r="D2820" s="272"/>
      <c r="E2820" s="228" t="s">
        <v>832</v>
      </c>
      <c r="F2820" s="228"/>
    </row>
    <row r="2821" ht="15.95" customHeight="1" spans="1:6">
      <c r="A2821" s="232" t="s">
        <v>911</v>
      </c>
      <c r="B2821" s="233"/>
      <c r="C2821" s="234"/>
      <c r="D2821" s="234"/>
      <c r="E2821" s="234"/>
      <c r="F2821" s="235"/>
    </row>
    <row r="2822" ht="15.95" customHeight="1" spans="1:6">
      <c r="A2822" s="7" t="s">
        <v>104</v>
      </c>
      <c r="B2822" s="7" t="s">
        <v>835</v>
      </c>
      <c r="C2822" s="7" t="s">
        <v>159</v>
      </c>
      <c r="D2822" s="7" t="s">
        <v>422</v>
      </c>
      <c r="E2822" s="7" t="s">
        <v>160</v>
      </c>
      <c r="F2822" s="7" t="s">
        <v>18</v>
      </c>
    </row>
    <row r="2823" ht="15.95" customHeight="1" spans="1:6">
      <c r="A2823" s="7" t="s">
        <v>836</v>
      </c>
      <c r="B2823" s="7" t="s">
        <v>839</v>
      </c>
      <c r="C2823" s="7" t="s">
        <v>840</v>
      </c>
      <c r="D2823" s="297"/>
      <c r="E2823" s="42">
        <f>SUM(E2824:E2825)</f>
        <v>2246.3</v>
      </c>
      <c r="F2823" s="69">
        <f>SUM(F2824:F2825)</f>
        <v>16572.418</v>
      </c>
    </row>
    <row r="2824" ht="15.95" customHeight="1" spans="1:6">
      <c r="A2824" s="7"/>
      <c r="B2824" s="7" t="s">
        <v>841</v>
      </c>
      <c r="C2824" s="7" t="s">
        <v>840</v>
      </c>
      <c r="D2824" s="69">
        <f>D2807</f>
        <v>8.1</v>
      </c>
      <c r="E2824" s="42">
        <v>1549.9</v>
      </c>
      <c r="F2824" s="69">
        <f t="shared" ref="F2824:F2830" si="210">D2824*E2824</f>
        <v>12554.19</v>
      </c>
    </row>
    <row r="2825" ht="15.95" customHeight="1" spans="1:6">
      <c r="A2825" s="7"/>
      <c r="B2825" s="7" t="s">
        <v>842</v>
      </c>
      <c r="C2825" s="7" t="s">
        <v>840</v>
      </c>
      <c r="D2825" s="69">
        <f>D2808</f>
        <v>5.77</v>
      </c>
      <c r="E2825" s="42">
        <v>696.4</v>
      </c>
      <c r="F2825" s="69">
        <f t="shared" si="210"/>
        <v>4018.228</v>
      </c>
    </row>
    <row r="2826" ht="15.95" customHeight="1" spans="1:6">
      <c r="A2826" s="7" t="s">
        <v>1110</v>
      </c>
      <c r="B2826" s="7" t="s">
        <v>912</v>
      </c>
      <c r="C2826" s="7"/>
      <c r="D2826" s="34"/>
      <c r="E2826" s="34"/>
      <c r="F2826" s="34">
        <f>SUM(F2827:F2831)</f>
        <v>26604.93361296</v>
      </c>
    </row>
    <row r="2827" ht="15.95" customHeight="1" spans="1:6">
      <c r="A2827" s="7"/>
      <c r="B2827" s="273" t="s">
        <v>996</v>
      </c>
      <c r="C2827" s="273" t="s">
        <v>169</v>
      </c>
      <c r="D2827" s="34">
        <f>材料预算价!K10</f>
        <v>2238.008025</v>
      </c>
      <c r="E2827" s="34">
        <v>2.76</v>
      </c>
      <c r="F2827" s="274">
        <f t="shared" si="210"/>
        <v>6176.902149</v>
      </c>
    </row>
    <row r="2828" ht="15.95" customHeight="1" spans="1:6">
      <c r="A2828" s="7"/>
      <c r="B2828" s="273" t="s">
        <v>1116</v>
      </c>
      <c r="C2828" s="273" t="s">
        <v>863</v>
      </c>
      <c r="D2828" s="34">
        <f t="shared" ref="D2828:D2837" si="211">D2914</f>
        <v>7.99</v>
      </c>
      <c r="E2828" s="298">
        <v>10</v>
      </c>
      <c r="F2828" s="274">
        <f t="shared" si="210"/>
        <v>79.9</v>
      </c>
    </row>
    <row r="2829" ht="15.95" customHeight="1" spans="1:6">
      <c r="A2829" s="7"/>
      <c r="B2829" s="7" t="s">
        <v>1025</v>
      </c>
      <c r="C2829" s="7" t="s">
        <v>169</v>
      </c>
      <c r="D2829" s="34">
        <f>配合比!M11</f>
        <v>188.0418245</v>
      </c>
      <c r="E2829" s="298">
        <v>102</v>
      </c>
      <c r="F2829" s="274">
        <f t="shared" si="210"/>
        <v>19180.266099</v>
      </c>
    </row>
    <row r="2830" ht="15.95" customHeight="1" spans="1:6">
      <c r="A2830" s="7"/>
      <c r="B2830" s="7" t="s">
        <v>913</v>
      </c>
      <c r="C2830" s="7" t="s">
        <v>169</v>
      </c>
      <c r="D2830" s="34">
        <f t="shared" si="211"/>
        <v>3.59</v>
      </c>
      <c r="E2830" s="34">
        <v>180</v>
      </c>
      <c r="F2830" s="274">
        <f t="shared" si="210"/>
        <v>646.2</v>
      </c>
    </row>
    <row r="2831" ht="15.95" customHeight="1" spans="1:6">
      <c r="A2831" s="7"/>
      <c r="B2831" s="7" t="s">
        <v>1004</v>
      </c>
      <c r="C2831" s="9" t="s">
        <v>845</v>
      </c>
      <c r="D2831" s="254">
        <f>SUM(F2827:F2830)</f>
        <v>26083.268248</v>
      </c>
      <c r="E2831" s="34">
        <v>2</v>
      </c>
      <c r="F2831" s="274">
        <f>D2831*E2831/100</f>
        <v>521.66536496</v>
      </c>
    </row>
    <row r="2832" ht="15.95" customHeight="1" spans="1:6">
      <c r="A2832" s="7" t="s">
        <v>1111</v>
      </c>
      <c r="B2832" s="7" t="s">
        <v>859</v>
      </c>
      <c r="C2832" s="7"/>
      <c r="D2832" s="34"/>
      <c r="E2832" s="34"/>
      <c r="F2832" s="299">
        <f>SUM(F2833:F2837)</f>
        <v>2634.21793443119</v>
      </c>
    </row>
    <row r="2833" ht="15.95" customHeight="1" spans="1:6">
      <c r="A2833" s="7"/>
      <c r="B2833" s="7" t="s">
        <v>1005</v>
      </c>
      <c r="C2833" s="7" t="s">
        <v>428</v>
      </c>
      <c r="D2833" s="34">
        <f t="shared" si="211"/>
        <v>49.389824491424</v>
      </c>
      <c r="E2833" s="34">
        <v>1.5</v>
      </c>
      <c r="F2833" s="34">
        <f>D2833*E2833</f>
        <v>74.084736737136</v>
      </c>
    </row>
    <row r="2834" ht="15.95" customHeight="1" spans="1:6">
      <c r="A2834" s="7"/>
      <c r="B2834" s="7" t="s">
        <v>1117</v>
      </c>
      <c r="C2834" s="7" t="s">
        <v>428</v>
      </c>
      <c r="D2834" s="34">
        <f t="shared" si="211"/>
        <v>23.9179521340247</v>
      </c>
      <c r="E2834" s="34">
        <v>18.36</v>
      </c>
      <c r="F2834" s="34">
        <f>D2834*E2834</f>
        <v>439.133601180694</v>
      </c>
    </row>
    <row r="2835" ht="15.95" customHeight="1" spans="1:6">
      <c r="A2835" s="7"/>
      <c r="B2835" s="7" t="s">
        <v>1009</v>
      </c>
      <c r="C2835" s="7" t="s">
        <v>428</v>
      </c>
      <c r="D2835" s="34">
        <f t="shared" si="211"/>
        <v>1.82152692461109</v>
      </c>
      <c r="E2835" s="34">
        <v>44</v>
      </c>
      <c r="F2835" s="34">
        <f>D2835*E2835</f>
        <v>80.1471846828879</v>
      </c>
    </row>
    <row r="2836" ht="15.95" customHeight="1" spans="1:6">
      <c r="A2836" s="7"/>
      <c r="B2836" s="7" t="s">
        <v>1118</v>
      </c>
      <c r="C2836" s="7" t="s">
        <v>428</v>
      </c>
      <c r="D2836" s="34">
        <f t="shared" si="211"/>
        <v>95.890325887515</v>
      </c>
      <c r="E2836" s="34">
        <v>17.7</v>
      </c>
      <c r="F2836" s="34">
        <f>D2836*E2836</f>
        <v>1697.25876820901</v>
      </c>
    </row>
    <row r="2837" ht="15.95" customHeight="1" spans="1:6">
      <c r="A2837" s="7"/>
      <c r="B2837" s="7" t="s">
        <v>918</v>
      </c>
      <c r="C2837" s="9" t="s">
        <v>845</v>
      </c>
      <c r="D2837" s="34">
        <f t="shared" si="211"/>
        <v>2290.62429080973</v>
      </c>
      <c r="E2837" s="34">
        <v>15</v>
      </c>
      <c r="F2837" s="34">
        <f>D2837*E2837/100</f>
        <v>343.59364362146</v>
      </c>
    </row>
    <row r="2838" ht="15.95" customHeight="1" spans="1:6">
      <c r="A2838" s="7" t="s">
        <v>121</v>
      </c>
      <c r="B2838" s="7" t="s">
        <v>1010</v>
      </c>
      <c r="C2838" s="9"/>
      <c r="D2838" s="34"/>
      <c r="E2838" s="34"/>
      <c r="F2838" s="34">
        <f>SUM(F2839:F2840)</f>
        <v>1972.31972351059</v>
      </c>
    </row>
    <row r="2839" ht="15.95" customHeight="1" spans="1:6">
      <c r="A2839" s="7"/>
      <c r="B2839" s="123" t="s">
        <v>681</v>
      </c>
      <c r="C2839" s="123" t="s">
        <v>169</v>
      </c>
      <c r="D2839" s="274">
        <f>$F$2795/100</f>
        <v>5.03319379720782</v>
      </c>
      <c r="E2839" s="274">
        <v>102</v>
      </c>
      <c r="F2839" s="34">
        <f>D2839*E2839</f>
        <v>513.385767315197</v>
      </c>
    </row>
    <row r="2840" ht="15.95" customHeight="1" spans="1:6">
      <c r="A2840" s="7"/>
      <c r="B2840" s="123" t="s">
        <v>682</v>
      </c>
      <c r="C2840" s="123" t="s">
        <v>169</v>
      </c>
      <c r="D2840" s="274">
        <f>$F$2813/100</f>
        <v>14.303274080347</v>
      </c>
      <c r="E2840" s="274">
        <v>102</v>
      </c>
      <c r="F2840" s="34">
        <f>D2840*E2840</f>
        <v>1458.9339561954</v>
      </c>
    </row>
    <row r="2841" ht="15.95" customHeight="1" spans="1:6">
      <c r="A2841" s="7"/>
      <c r="B2841" s="7" t="s">
        <v>1119</v>
      </c>
      <c r="C2841" s="7"/>
      <c r="D2841" s="34"/>
      <c r="E2841" s="34"/>
      <c r="F2841" s="34">
        <f>F2823+F2826+F2832+F2838</f>
        <v>47783.8892709018</v>
      </c>
    </row>
    <row r="2842" ht="15.95" customHeight="1" spans="1:6">
      <c r="A2842" s="7"/>
      <c r="B2842" s="7"/>
      <c r="C2842" s="7"/>
      <c r="D2842" s="34"/>
      <c r="E2842" s="34"/>
      <c r="F2842" s="34"/>
    </row>
    <row r="2843" ht="15.95" customHeight="1" spans="1:6">
      <c r="A2843" s="7"/>
      <c r="B2843" s="7"/>
      <c r="C2843" s="7"/>
      <c r="D2843" s="34"/>
      <c r="E2843" s="34"/>
      <c r="F2843" s="34"/>
    </row>
    <row r="2844" ht="15.95" customHeight="1" spans="1:6">
      <c r="A2844" s="7"/>
      <c r="B2844" s="7"/>
      <c r="C2844" s="7"/>
      <c r="D2844" s="34"/>
      <c r="E2844" s="34"/>
      <c r="F2844" s="34"/>
    </row>
    <row r="2845" ht="15.95" customHeight="1" spans="1:6">
      <c r="A2845" s="7"/>
      <c r="B2845" s="7"/>
      <c r="C2845" s="7"/>
      <c r="D2845" s="34"/>
      <c r="E2845" s="34"/>
      <c r="F2845" s="34"/>
    </row>
    <row r="2846" ht="15.95" customHeight="1" spans="1:6">
      <c r="A2846" s="7"/>
      <c r="B2846" s="7"/>
      <c r="C2846" s="7"/>
      <c r="D2846" s="34"/>
      <c r="E2846" s="34"/>
      <c r="F2846" s="34"/>
    </row>
    <row r="2847" ht="15.95" customHeight="1" spans="1:6">
      <c r="A2847" s="7"/>
      <c r="B2847" s="7"/>
      <c r="C2847" s="7"/>
      <c r="D2847" s="34"/>
      <c r="E2847" s="34"/>
      <c r="F2847" s="34"/>
    </row>
    <row r="2848" ht="15.95" customHeight="1" spans="1:6">
      <c r="A2848" s="7"/>
      <c r="B2848" s="7"/>
      <c r="C2848" s="7"/>
      <c r="D2848" s="34"/>
      <c r="E2848" s="34"/>
      <c r="F2848" s="34"/>
    </row>
    <row r="2849" ht="15.95" customHeight="1" spans="1:6">
      <c r="A2849" s="7"/>
      <c r="B2849" s="7"/>
      <c r="C2849" s="7"/>
      <c r="D2849" s="34"/>
      <c r="E2849" s="34"/>
      <c r="F2849" s="34"/>
    </row>
    <row r="2850" ht="15.95" customHeight="1" spans="1:6">
      <c r="A2850" s="7"/>
      <c r="B2850" s="7"/>
      <c r="C2850" s="7"/>
      <c r="D2850" s="34"/>
      <c r="E2850" s="34"/>
      <c r="F2850" s="34"/>
    </row>
    <row r="2851" ht="15.95" customHeight="1" spans="1:6">
      <c r="A2851" s="7"/>
      <c r="B2851" s="7"/>
      <c r="C2851" s="7"/>
      <c r="D2851" s="34"/>
      <c r="E2851" s="34"/>
      <c r="F2851" s="34"/>
    </row>
    <row r="2852" ht="15.95" customHeight="1" spans="1:6">
      <c r="A2852" s="7"/>
      <c r="B2852" s="7"/>
      <c r="C2852" s="7"/>
      <c r="D2852" s="34"/>
      <c r="E2852" s="34"/>
      <c r="F2852" s="34"/>
    </row>
    <row r="2853" ht="15.95" customHeight="1" spans="1:6">
      <c r="A2853" s="7"/>
      <c r="B2853" s="7"/>
      <c r="C2853" s="7"/>
      <c r="D2853" s="34"/>
      <c r="E2853" s="34"/>
      <c r="F2853" s="34"/>
    </row>
    <row r="2854" ht="15.95" customHeight="1" spans="1:6">
      <c r="A2854" s="7"/>
      <c r="B2854" s="7"/>
      <c r="C2854" s="7"/>
      <c r="D2854" s="34"/>
      <c r="E2854" s="34"/>
      <c r="F2854" s="34"/>
    </row>
    <row r="2855" ht="15.95" customHeight="1" spans="1:6">
      <c r="A2855" s="7"/>
      <c r="B2855" s="7"/>
      <c r="C2855" s="7"/>
      <c r="D2855" s="34"/>
      <c r="E2855" s="34"/>
      <c r="F2855" s="34"/>
    </row>
    <row r="2856" ht="15.95" customHeight="1" spans="1:6">
      <c r="A2856" s="7"/>
      <c r="B2856" s="7"/>
      <c r="C2856" s="7"/>
      <c r="D2856" s="34"/>
      <c r="E2856" s="34"/>
      <c r="F2856" s="34"/>
    </row>
    <row r="2857" ht="15.95" customHeight="1" spans="1:6">
      <c r="A2857" s="7"/>
      <c r="B2857" s="7"/>
      <c r="C2857" s="7"/>
      <c r="D2857" s="34"/>
      <c r="E2857" s="34"/>
      <c r="F2857" s="34"/>
    </row>
    <row r="2858" ht="15.95" customHeight="1" spans="1:6">
      <c r="A2858" s="7"/>
      <c r="B2858" s="7"/>
      <c r="C2858" s="7"/>
      <c r="D2858" s="34"/>
      <c r="E2858" s="34"/>
      <c r="F2858" s="34"/>
    </row>
    <row r="2859" ht="15.95" customHeight="1" spans="1:6">
      <c r="A2859" s="7"/>
      <c r="B2859" s="7"/>
      <c r="C2859" s="7"/>
      <c r="D2859" s="34"/>
      <c r="E2859" s="34"/>
      <c r="F2859" s="34"/>
    </row>
    <row r="2860" ht="15.95" customHeight="1" spans="1:6">
      <c r="A2860" s="7"/>
      <c r="B2860" s="7"/>
      <c r="C2860" s="7"/>
      <c r="D2860" s="34"/>
      <c r="E2860" s="34"/>
      <c r="F2860" s="34"/>
    </row>
    <row r="2861" ht="15.95" customHeight="1" spans="1:6">
      <c r="A2861" s="224" t="s">
        <v>828</v>
      </c>
      <c r="B2861" s="225"/>
      <c r="C2861" s="225"/>
      <c r="D2861" s="225"/>
      <c r="E2861" s="225"/>
      <c r="F2861" s="225"/>
    </row>
    <row r="2862" ht="15.95" customHeight="1" spans="1:6">
      <c r="A2862" s="296" t="s">
        <v>1120</v>
      </c>
      <c r="B2862" s="296"/>
      <c r="C2862" s="296"/>
      <c r="D2862" s="296"/>
      <c r="E2862" s="296"/>
      <c r="F2862" s="296"/>
    </row>
    <row r="2863" ht="15.95" customHeight="1" spans="1:6">
      <c r="A2863" s="228" t="s">
        <v>1121</v>
      </c>
      <c r="B2863" s="228"/>
      <c r="C2863" s="229"/>
      <c r="D2863" s="229"/>
      <c r="E2863" s="228" t="s">
        <v>832</v>
      </c>
      <c r="F2863" s="228"/>
    </row>
    <row r="2864" ht="15.95" customHeight="1" spans="1:6">
      <c r="A2864" s="146" t="s">
        <v>911</v>
      </c>
      <c r="B2864" s="233"/>
      <c r="C2864" s="233"/>
      <c r="D2864" s="233"/>
      <c r="E2864" s="233"/>
      <c r="F2864" s="147"/>
    </row>
    <row r="2865" ht="15.95" customHeight="1" spans="1:6">
      <c r="A2865" s="7" t="s">
        <v>104</v>
      </c>
      <c r="B2865" s="7" t="s">
        <v>835</v>
      </c>
      <c r="C2865" s="7" t="s">
        <v>159</v>
      </c>
      <c r="D2865" s="7" t="s">
        <v>422</v>
      </c>
      <c r="E2865" s="7" t="s">
        <v>160</v>
      </c>
      <c r="F2865" s="7" t="s">
        <v>18</v>
      </c>
    </row>
    <row r="2866" ht="15.95" customHeight="1" spans="1:6">
      <c r="A2866" s="7" t="s">
        <v>836</v>
      </c>
      <c r="B2866" s="7" t="s">
        <v>837</v>
      </c>
      <c r="C2866" s="7"/>
      <c r="D2866" s="7"/>
      <c r="E2866" s="7"/>
      <c r="F2866" s="34">
        <f>F2867+F2885+F2886</f>
        <v>62613.761060327</v>
      </c>
    </row>
    <row r="2867" ht="15.95" customHeight="1" spans="1:6">
      <c r="A2867" s="7" t="s">
        <v>539</v>
      </c>
      <c r="B2867" s="7" t="s">
        <v>838</v>
      </c>
      <c r="C2867" s="7"/>
      <c r="D2867" s="7"/>
      <c r="E2867" s="7"/>
      <c r="F2867" s="34">
        <f>F2868+F2871+F2878+F2883</f>
        <v>59745.9552102357</v>
      </c>
    </row>
    <row r="2868" ht="15.95" customHeight="1" spans="1:6">
      <c r="A2868" s="7">
        <v>1</v>
      </c>
      <c r="B2868" s="7" t="s">
        <v>839</v>
      </c>
      <c r="C2868" s="7" t="s">
        <v>840</v>
      </c>
      <c r="D2868" s="34"/>
      <c r="E2868" s="42">
        <f>SUM(E2869:E2870)</f>
        <v>574.6</v>
      </c>
      <c r="F2868" s="69">
        <f>SUM(F2869:F2870)</f>
        <v>4654.26</v>
      </c>
    </row>
    <row r="2869" ht="15.95" customHeight="1" spans="1:6">
      <c r="A2869" s="7"/>
      <c r="B2869" s="7" t="s">
        <v>841</v>
      </c>
      <c r="C2869" s="7" t="s">
        <v>840</v>
      </c>
      <c r="D2869" s="69">
        <f>D2824</f>
        <v>8.1</v>
      </c>
      <c r="E2869" s="42">
        <v>574.6</v>
      </c>
      <c r="F2869" s="69">
        <f t="shared" ref="F2869:F2876" si="212">D2869*E2869</f>
        <v>4654.26</v>
      </c>
    </row>
    <row r="2870" ht="15.95" customHeight="1" spans="1:6">
      <c r="A2870" s="7"/>
      <c r="B2870" s="7" t="s">
        <v>842</v>
      </c>
      <c r="C2870" s="7" t="s">
        <v>840</v>
      </c>
      <c r="D2870" s="69">
        <f>D2825</f>
        <v>5.77</v>
      </c>
      <c r="E2870" s="42">
        <v>0</v>
      </c>
      <c r="F2870" s="69">
        <f t="shared" si="212"/>
        <v>0</v>
      </c>
    </row>
    <row r="2871" ht="15.95" customHeight="1" spans="1:6">
      <c r="A2871" s="7">
        <v>2</v>
      </c>
      <c r="B2871" s="7" t="s">
        <v>912</v>
      </c>
      <c r="C2871" s="7"/>
      <c r="D2871" s="34"/>
      <c r="E2871" s="34"/>
      <c r="F2871" s="254">
        <f>SUM(F2872:F2877)</f>
        <v>52623.5398719813</v>
      </c>
    </row>
    <row r="2872" ht="15.95" customHeight="1" spans="1:6">
      <c r="A2872" s="7"/>
      <c r="B2872" s="273" t="s">
        <v>996</v>
      </c>
      <c r="C2872" s="273" t="s">
        <v>169</v>
      </c>
      <c r="D2872" s="34">
        <f>D2827</f>
        <v>2238.008025</v>
      </c>
      <c r="E2872" s="34">
        <v>0.19</v>
      </c>
      <c r="F2872" s="34">
        <f t="shared" si="212"/>
        <v>425.22152475</v>
      </c>
    </row>
    <row r="2873" ht="15.95" customHeight="1" spans="1:6">
      <c r="A2873" s="7"/>
      <c r="B2873" s="273" t="s">
        <v>1122</v>
      </c>
      <c r="C2873" s="273" t="s">
        <v>169</v>
      </c>
      <c r="D2873" s="34">
        <f>D2872</f>
        <v>2238.008025</v>
      </c>
      <c r="E2873" s="34">
        <v>0.62</v>
      </c>
      <c r="F2873" s="34">
        <f t="shared" si="212"/>
        <v>1387.5649755</v>
      </c>
    </row>
    <row r="2874" ht="15.95" customHeight="1" spans="1:6">
      <c r="A2874" s="7"/>
      <c r="B2874" s="7" t="s">
        <v>977</v>
      </c>
      <c r="C2874" s="273" t="s">
        <v>169</v>
      </c>
      <c r="D2874" s="34">
        <f>D2955</f>
        <v>125.82823</v>
      </c>
      <c r="E2874" s="34">
        <v>1.8</v>
      </c>
      <c r="F2874" s="34">
        <f t="shared" si="212"/>
        <v>226.490814</v>
      </c>
    </row>
    <row r="2875" ht="15.95" customHeight="1" spans="1:6">
      <c r="A2875" s="7"/>
      <c r="B2875" s="7" t="s">
        <v>1123</v>
      </c>
      <c r="C2875" s="273" t="s">
        <v>169</v>
      </c>
      <c r="D2875" s="34">
        <f>F2841/100</f>
        <v>477.838892709018</v>
      </c>
      <c r="E2875" s="34">
        <v>100</v>
      </c>
      <c r="F2875" s="34">
        <f t="shared" si="212"/>
        <v>47783.8892709018</v>
      </c>
    </row>
    <row r="2876" ht="15.95" customHeight="1" spans="1:6">
      <c r="A2876" s="7"/>
      <c r="B2876" s="7" t="s">
        <v>1025</v>
      </c>
      <c r="C2876" s="273" t="s">
        <v>169</v>
      </c>
      <c r="D2876" s="34">
        <f>配合比!M11</f>
        <v>188.0418245</v>
      </c>
      <c r="E2876" s="34">
        <v>13.5</v>
      </c>
      <c r="F2876" s="34">
        <f t="shared" si="212"/>
        <v>2538.56463075</v>
      </c>
    </row>
    <row r="2877" ht="15.95" customHeight="1" spans="1:6">
      <c r="A2877" s="7"/>
      <c r="B2877" s="7" t="s">
        <v>1004</v>
      </c>
      <c r="C2877" s="300" t="s">
        <v>845</v>
      </c>
      <c r="D2877" s="254">
        <f>SUM(F2872:F2876)</f>
        <v>52361.7312159018</v>
      </c>
      <c r="E2877" s="34">
        <v>0.5</v>
      </c>
      <c r="F2877" s="34">
        <f>D2877*E2877/100</f>
        <v>261.808656079509</v>
      </c>
    </row>
    <row r="2878" ht="15.95" customHeight="1" spans="1:6">
      <c r="A2878" s="7">
        <v>3</v>
      </c>
      <c r="B2878" s="7" t="s">
        <v>859</v>
      </c>
      <c r="C2878" s="7"/>
      <c r="D2878" s="34"/>
      <c r="E2878" s="34"/>
      <c r="F2878" s="254">
        <f>SUM(F2879:F2882)</f>
        <v>2400.20722199213</v>
      </c>
    </row>
    <row r="2879" ht="15.95" customHeight="1" spans="1:6">
      <c r="A2879" s="7"/>
      <c r="B2879" s="7" t="s">
        <v>1124</v>
      </c>
      <c r="C2879" s="7" t="s">
        <v>428</v>
      </c>
      <c r="D2879" s="34">
        <f>D2960</f>
        <v>62.3342780215397</v>
      </c>
      <c r="E2879" s="34">
        <v>37</v>
      </c>
      <c r="F2879" s="34">
        <f>D2879*E2879</f>
        <v>2306.36828679697</v>
      </c>
    </row>
    <row r="2880" ht="15.95" customHeight="1" spans="1:6">
      <c r="A2880" s="7"/>
      <c r="B2880" s="7" t="s">
        <v>1117</v>
      </c>
      <c r="C2880" s="7" t="s">
        <v>428</v>
      </c>
      <c r="D2880" s="34">
        <f>D2961</f>
        <v>23.9179521340247</v>
      </c>
      <c r="E2880" s="34">
        <v>2.5029</v>
      </c>
      <c r="F2880" s="34">
        <f>D2880*E2880</f>
        <v>59.8642423962505</v>
      </c>
    </row>
    <row r="2881" ht="15.95" customHeight="1" spans="1:6">
      <c r="A2881" s="7"/>
      <c r="B2881" s="7" t="s">
        <v>967</v>
      </c>
      <c r="C2881" s="7" t="s">
        <v>428</v>
      </c>
      <c r="D2881" s="34">
        <f>D2962</f>
        <v>0.813242919824491</v>
      </c>
      <c r="E2881" s="251">
        <v>12.555</v>
      </c>
      <c r="F2881" s="34">
        <f>D2881*E2881</f>
        <v>10.2102648583965</v>
      </c>
    </row>
    <row r="2882" ht="15.95" customHeight="1" spans="1:6">
      <c r="A2882" s="7"/>
      <c r="B2882" s="7" t="s">
        <v>918</v>
      </c>
      <c r="C2882" s="9" t="s">
        <v>845</v>
      </c>
      <c r="D2882" s="254">
        <f>SUM(F2879:F2881)</f>
        <v>2376.44279405162</v>
      </c>
      <c r="E2882" s="34">
        <v>1</v>
      </c>
      <c r="F2882" s="34">
        <f>D2882*E2882/100</f>
        <v>23.7644279405162</v>
      </c>
    </row>
    <row r="2883" ht="15.95" customHeight="1" spans="1:6">
      <c r="A2883" s="7">
        <v>4</v>
      </c>
      <c r="B2883" s="7" t="s">
        <v>1010</v>
      </c>
      <c r="C2883" s="275"/>
      <c r="D2883" s="254"/>
      <c r="E2883" s="34"/>
      <c r="F2883" s="34">
        <f>F2884</f>
        <v>67.9481162623055</v>
      </c>
    </row>
    <row r="2884" ht="15.95" customHeight="1" spans="1:6">
      <c r="A2884" s="7"/>
      <c r="B2884" s="123" t="s">
        <v>681</v>
      </c>
      <c r="C2884" s="123" t="s">
        <v>169</v>
      </c>
      <c r="D2884" s="254">
        <f>D2839</f>
        <v>5.03319379720782</v>
      </c>
      <c r="E2884" s="34">
        <v>13.5</v>
      </c>
      <c r="F2884" s="34">
        <f>D2884*E2884</f>
        <v>67.9481162623055</v>
      </c>
    </row>
    <row r="2885" ht="15.95" customHeight="1" spans="1:6">
      <c r="A2885" s="7" t="s">
        <v>564</v>
      </c>
      <c r="B2885" s="7" t="s">
        <v>846</v>
      </c>
      <c r="C2885" s="230">
        <f>取费表!$C$7</f>
        <v>0.048</v>
      </c>
      <c r="D2885" s="254"/>
      <c r="E2885" s="34">
        <f>F2867</f>
        <v>59745.9552102357</v>
      </c>
      <c r="F2885" s="34">
        <f>E2885*C2885</f>
        <v>2867.80585009131</v>
      </c>
    </row>
    <row r="2886" ht="15.95" customHeight="1" spans="1:6">
      <c r="A2886" s="7"/>
      <c r="B2886" s="7"/>
      <c r="C2886" s="230"/>
      <c r="D2886" s="254"/>
      <c r="E2886" s="34"/>
      <c r="F2886" s="34"/>
    </row>
    <row r="2887" ht="15.95" customHeight="1" spans="1:6">
      <c r="A2887" s="7" t="s">
        <v>439</v>
      </c>
      <c r="B2887" s="7" t="s">
        <v>847</v>
      </c>
      <c r="C2887" s="230">
        <f>取费表!$E$7</f>
        <v>0.07</v>
      </c>
      <c r="D2887" s="254"/>
      <c r="E2887" s="34">
        <f>F2866</f>
        <v>62613.761060327</v>
      </c>
      <c r="F2887" s="34">
        <f>E2887*C2887</f>
        <v>4382.96327422289</v>
      </c>
    </row>
    <row r="2888" ht="15.95" customHeight="1" spans="1:6">
      <c r="A2888" s="7" t="s">
        <v>83</v>
      </c>
      <c r="B2888" s="7" t="s">
        <v>848</v>
      </c>
      <c r="C2888" s="230">
        <f>取费表!$F$7</f>
        <v>0.07</v>
      </c>
      <c r="D2888" s="254"/>
      <c r="E2888" s="34">
        <f>F2887+F2866</f>
        <v>66996.7243345499</v>
      </c>
      <c r="F2888" s="34">
        <f>E2888*C2888</f>
        <v>4689.7707034185</v>
      </c>
    </row>
    <row r="2889" ht="15.95" customHeight="1" spans="1:6">
      <c r="A2889" s="5" t="s">
        <v>121</v>
      </c>
      <c r="B2889" s="5" t="s">
        <v>861</v>
      </c>
      <c r="C2889" s="275"/>
      <c r="D2889" s="276"/>
      <c r="E2889" s="5"/>
      <c r="F2889" s="277">
        <f>F2890+F2895</f>
        <v>12145.1760090238</v>
      </c>
    </row>
    <row r="2890" ht="15.95" customHeight="1" spans="1:6">
      <c r="A2890" s="7">
        <v>1</v>
      </c>
      <c r="B2890" s="7" t="s">
        <v>1011</v>
      </c>
      <c r="C2890" s="9"/>
      <c r="D2890" s="34"/>
      <c r="E2890" s="7"/>
      <c r="F2890" s="69">
        <f>SUM(F2891:F2894)</f>
        <v>10809.6810090238</v>
      </c>
    </row>
    <row r="2891" ht="15.95" customHeight="1" spans="1:6">
      <c r="A2891" s="7"/>
      <c r="B2891" s="7"/>
      <c r="C2891" s="7"/>
      <c r="D2891" s="34"/>
      <c r="E2891" s="34"/>
      <c r="F2891" s="69"/>
    </row>
    <row r="2892" ht="15.95" customHeight="1" spans="1:6">
      <c r="A2892" s="7"/>
      <c r="B2892" s="7" t="s">
        <v>979</v>
      </c>
      <c r="C2892" s="7" t="s">
        <v>200</v>
      </c>
      <c r="D2892" s="34">
        <f t="shared" ref="D2892:D2897" si="213">D2973</f>
        <v>141.58936</v>
      </c>
      <c r="E2892" s="34">
        <f>E2876*配合比!E11+E2875*0.01*E2829*配合比!E11</f>
        <v>42.142485</v>
      </c>
      <c r="F2892" s="69">
        <f>D2892*E2892</f>
        <v>5966.9274799596</v>
      </c>
    </row>
    <row r="2893" ht="15.95" customHeight="1" spans="1:6">
      <c r="A2893" s="7"/>
      <c r="B2893" s="7" t="s">
        <v>961</v>
      </c>
      <c r="C2893" s="7" t="s">
        <v>169</v>
      </c>
      <c r="D2893" s="34">
        <f>材料预算价!K7-材料预算价!L7</f>
        <v>34.366056</v>
      </c>
      <c r="E2893" s="34">
        <f>E2876*配合比!G11+E2875*0.01*E2829*配合比!G11</f>
        <v>58.51923</v>
      </c>
      <c r="F2893" s="69">
        <f>D2893*E2893</f>
        <v>2011.07513525688</v>
      </c>
    </row>
    <row r="2894" ht="15.95" customHeight="1" spans="1:6">
      <c r="A2894" s="7"/>
      <c r="B2894" s="7" t="s">
        <v>1012</v>
      </c>
      <c r="C2894" s="7" t="s">
        <v>169</v>
      </c>
      <c r="D2894" s="34">
        <f t="shared" si="213"/>
        <v>29.13701</v>
      </c>
      <c r="E2894" s="34">
        <f>E2876*配合比!I11+E2875*0.01*E2829*配合比!I11</f>
        <v>97.184934</v>
      </c>
      <c r="F2894" s="69">
        <f>D2894*E2894</f>
        <v>2831.67839380734</v>
      </c>
    </row>
    <row r="2895" ht="15.95" customHeight="1" spans="1:6">
      <c r="A2895" s="7">
        <v>2</v>
      </c>
      <c r="B2895" s="7" t="s">
        <v>1013</v>
      </c>
      <c r="C2895" s="7"/>
      <c r="D2895" s="34"/>
      <c r="E2895" s="38"/>
      <c r="F2895" s="69">
        <f>SUM(F2896:F2897)</f>
        <v>1335.495</v>
      </c>
    </row>
    <row r="2896" ht="15.95" customHeight="1" spans="1:6">
      <c r="A2896" s="7"/>
      <c r="B2896" s="7" t="s">
        <v>1014</v>
      </c>
      <c r="C2896" s="7" t="s">
        <v>863</v>
      </c>
      <c r="D2896" s="34">
        <f t="shared" si="213"/>
        <v>5.925</v>
      </c>
      <c r="E2896" s="38">
        <f>(E2833*7.2+E2879*5.8)</f>
        <v>225.4</v>
      </c>
      <c r="F2896" s="69">
        <f>D2896*E2896</f>
        <v>1335.495</v>
      </c>
    </row>
    <row r="2897" ht="15.95" customHeight="1" spans="1:6">
      <c r="A2897" s="7"/>
      <c r="B2897" s="7" t="s">
        <v>862</v>
      </c>
      <c r="C2897" s="9" t="s">
        <v>863</v>
      </c>
      <c r="D2897" s="34">
        <f t="shared" si="213"/>
        <v>4.58</v>
      </c>
      <c r="E2897" s="38">
        <v>0</v>
      </c>
      <c r="F2897" s="69">
        <f>D2897*E2897</f>
        <v>0</v>
      </c>
    </row>
    <row r="2898" ht="15.95" customHeight="1" spans="1:6">
      <c r="A2898" s="7" t="s">
        <v>135</v>
      </c>
      <c r="B2898" s="7" t="s">
        <v>849</v>
      </c>
      <c r="C2898" s="231">
        <f>C2686</f>
        <v>0.09</v>
      </c>
      <c r="D2898" s="34"/>
      <c r="E2898" s="34">
        <f>E2888+F2888+F2889</f>
        <v>83831.6710469922</v>
      </c>
      <c r="F2898" s="34">
        <f>E2898*C2898</f>
        <v>7544.8503942293</v>
      </c>
    </row>
    <row r="2899" ht="15.95" customHeight="1" spans="1:6">
      <c r="A2899" s="7"/>
      <c r="B2899" s="7" t="s">
        <v>850</v>
      </c>
      <c r="C2899" s="231"/>
      <c r="D2899" s="34"/>
      <c r="E2899" s="34"/>
      <c r="F2899" s="34">
        <f>(F2866+F2887+F2888+F2889+F2898)*取费表!H7</f>
        <v>2741.29564323664</v>
      </c>
    </row>
    <row r="2900" ht="15.95" customHeight="1" spans="1:6">
      <c r="A2900" s="7"/>
      <c r="B2900" s="7" t="s">
        <v>156</v>
      </c>
      <c r="C2900" s="7"/>
      <c r="D2900" s="34"/>
      <c r="E2900" s="34"/>
      <c r="F2900" s="34">
        <f>F2898+E2898+F2899</f>
        <v>94117.8170844581</v>
      </c>
    </row>
    <row r="2901" ht="15.95" customHeight="1" spans="1:6">
      <c r="A2901" s="7"/>
      <c r="B2901" s="7"/>
      <c r="C2901" s="7"/>
      <c r="D2901" s="34"/>
      <c r="E2901" s="34"/>
      <c r="F2901" s="34"/>
    </row>
    <row r="2902" ht="15.95" customHeight="1" spans="1:6">
      <c r="A2902" s="7"/>
      <c r="B2902" s="7"/>
      <c r="C2902" s="7"/>
      <c r="D2902" s="34"/>
      <c r="E2902" s="34"/>
      <c r="F2902" s="34"/>
    </row>
    <row r="2903" ht="15.95" customHeight="1" spans="1:6">
      <c r="A2903" s="7"/>
      <c r="B2903" s="7"/>
      <c r="C2903" s="7"/>
      <c r="D2903" s="34"/>
      <c r="E2903" s="34"/>
      <c r="F2903" s="34"/>
    </row>
    <row r="2904" customHeight="1" spans="1:6">
      <c r="A2904" s="224" t="s">
        <v>828</v>
      </c>
      <c r="B2904" s="225"/>
      <c r="C2904" s="225"/>
      <c r="D2904" s="225"/>
      <c r="E2904" s="225"/>
      <c r="F2904" s="225"/>
    </row>
    <row r="2905" customHeight="1" spans="1:6">
      <c r="A2905" s="296" t="s">
        <v>1125</v>
      </c>
      <c r="B2905" s="296"/>
      <c r="C2905" s="296"/>
      <c r="D2905" s="296"/>
      <c r="E2905" s="296"/>
      <c r="F2905" s="296"/>
    </row>
    <row r="2906" customHeight="1" spans="1:6">
      <c r="A2906" s="227" t="s">
        <v>1115</v>
      </c>
      <c r="B2906" s="228"/>
      <c r="C2906" s="272"/>
      <c r="D2906" s="272"/>
      <c r="E2906" s="228" t="s">
        <v>832</v>
      </c>
      <c r="F2906" s="228"/>
    </row>
    <row r="2907" customHeight="1" spans="1:6">
      <c r="A2907" s="232" t="s">
        <v>911</v>
      </c>
      <c r="B2907" s="233"/>
      <c r="C2907" s="234"/>
      <c r="D2907" s="234"/>
      <c r="E2907" s="234"/>
      <c r="F2907" s="235"/>
    </row>
    <row r="2908" customHeight="1" spans="1:6">
      <c r="A2908" s="7" t="s">
        <v>104</v>
      </c>
      <c r="B2908" s="7" t="s">
        <v>835</v>
      </c>
      <c r="C2908" s="7" t="s">
        <v>159</v>
      </c>
      <c r="D2908" s="7" t="s">
        <v>422</v>
      </c>
      <c r="E2908" s="7" t="s">
        <v>160</v>
      </c>
      <c r="F2908" s="7" t="s">
        <v>18</v>
      </c>
    </row>
    <row r="2909" customHeight="1" spans="1:6">
      <c r="A2909" s="7" t="s">
        <v>836</v>
      </c>
      <c r="B2909" s="7" t="s">
        <v>839</v>
      </c>
      <c r="C2909" s="7" t="s">
        <v>840</v>
      </c>
      <c r="D2909" s="297"/>
      <c r="E2909" s="42">
        <f>SUM(E2910:E2911)</f>
        <v>2246.3</v>
      </c>
      <c r="F2909" s="69">
        <f>SUM(F2910:F2911)</f>
        <v>16572.418</v>
      </c>
    </row>
    <row r="2910" s="217" customFormat="1" customHeight="1" spans="1:6">
      <c r="A2910" s="7"/>
      <c r="B2910" s="7" t="s">
        <v>841</v>
      </c>
      <c r="C2910" s="7" t="s">
        <v>840</v>
      </c>
      <c r="D2910" s="69">
        <f>D2869</f>
        <v>8.1</v>
      </c>
      <c r="E2910" s="42">
        <v>1549.9</v>
      </c>
      <c r="F2910" s="69">
        <f t="shared" ref="F2910:F2916" si="214">D2910*E2910</f>
        <v>12554.19</v>
      </c>
    </row>
    <row r="2911" s="217" customFormat="1" customHeight="1" spans="1:6">
      <c r="A2911" s="7"/>
      <c r="B2911" s="7" t="s">
        <v>842</v>
      </c>
      <c r="C2911" s="7" t="s">
        <v>840</v>
      </c>
      <c r="D2911" s="69">
        <f>D2870</f>
        <v>5.77</v>
      </c>
      <c r="E2911" s="42">
        <v>696.4</v>
      </c>
      <c r="F2911" s="69">
        <f t="shared" si="214"/>
        <v>4018.228</v>
      </c>
    </row>
    <row r="2912" customHeight="1" spans="1:6">
      <c r="A2912" s="7" t="s">
        <v>1110</v>
      </c>
      <c r="B2912" s="7" t="s">
        <v>912</v>
      </c>
      <c r="C2912" s="7"/>
      <c r="D2912" s="34"/>
      <c r="E2912" s="34"/>
      <c r="F2912" s="34">
        <f>SUM(F2913:F2917)</f>
        <v>26106.20382756</v>
      </c>
    </row>
    <row r="2913" customHeight="1" spans="1:6">
      <c r="A2913" s="7"/>
      <c r="B2913" s="273" t="s">
        <v>996</v>
      </c>
      <c r="C2913" s="273" t="s">
        <v>169</v>
      </c>
      <c r="D2913" s="34">
        <f>D2872</f>
        <v>2238.008025</v>
      </c>
      <c r="E2913" s="34">
        <v>2.76</v>
      </c>
      <c r="F2913" s="274">
        <f t="shared" si="214"/>
        <v>6176.902149</v>
      </c>
    </row>
    <row r="2914" customHeight="1" spans="1:6">
      <c r="A2914" s="7"/>
      <c r="B2914" s="273" t="s">
        <v>1116</v>
      </c>
      <c r="C2914" s="273" t="s">
        <v>863</v>
      </c>
      <c r="D2914" s="34">
        <f>基础材料表!D31</f>
        <v>7.99</v>
      </c>
      <c r="E2914" s="298">
        <v>10</v>
      </c>
      <c r="F2914" s="274">
        <f t="shared" si="214"/>
        <v>79.9</v>
      </c>
    </row>
    <row r="2915" customHeight="1" spans="1:6">
      <c r="A2915" s="7"/>
      <c r="B2915" s="7" t="s">
        <v>1016</v>
      </c>
      <c r="C2915" s="7" t="s">
        <v>169</v>
      </c>
      <c r="D2915" s="34">
        <f>配合比!M10</f>
        <v>183.2481895</v>
      </c>
      <c r="E2915" s="298">
        <v>102</v>
      </c>
      <c r="F2915" s="274">
        <f t="shared" si="214"/>
        <v>18691.315329</v>
      </c>
    </row>
    <row r="2916" customHeight="1" spans="1:6">
      <c r="A2916" s="7"/>
      <c r="B2916" s="7" t="s">
        <v>913</v>
      </c>
      <c r="C2916" s="7" t="s">
        <v>169</v>
      </c>
      <c r="D2916" s="69">
        <f>材料预算价!K13</f>
        <v>3.59</v>
      </c>
      <c r="E2916" s="34">
        <v>180</v>
      </c>
      <c r="F2916" s="274">
        <f t="shared" si="214"/>
        <v>646.2</v>
      </c>
    </row>
    <row r="2917" customHeight="1" spans="1:6">
      <c r="A2917" s="7"/>
      <c r="B2917" s="7" t="s">
        <v>1004</v>
      </c>
      <c r="C2917" s="9" t="s">
        <v>845</v>
      </c>
      <c r="D2917" s="254">
        <f>SUM(F2913:F2916)</f>
        <v>25594.317478</v>
      </c>
      <c r="E2917" s="34">
        <v>2</v>
      </c>
      <c r="F2917" s="274">
        <f>D2917*E2917/100</f>
        <v>511.88634956</v>
      </c>
    </row>
    <row r="2918" customHeight="1" spans="1:6">
      <c r="A2918" s="7" t="s">
        <v>1111</v>
      </c>
      <c r="B2918" s="7" t="s">
        <v>859</v>
      </c>
      <c r="C2918" s="7"/>
      <c r="D2918" s="34"/>
      <c r="E2918" s="34"/>
      <c r="F2918" s="299">
        <f>SUM(F2919:F2923)</f>
        <v>2634.21793443119</v>
      </c>
    </row>
    <row r="2919" customHeight="1" spans="1:6">
      <c r="A2919" s="7"/>
      <c r="B2919" s="7" t="s">
        <v>1005</v>
      </c>
      <c r="C2919" s="7" t="s">
        <v>428</v>
      </c>
      <c r="D2919" s="34">
        <f>台时!H42</f>
        <v>49.389824491424</v>
      </c>
      <c r="E2919" s="34">
        <v>1.5</v>
      </c>
      <c r="F2919" s="34">
        <f>D2919*E2919</f>
        <v>74.084736737136</v>
      </c>
    </row>
    <row r="2920" customHeight="1" spans="1:6">
      <c r="A2920" s="7"/>
      <c r="B2920" s="7" t="s">
        <v>1117</v>
      </c>
      <c r="C2920" s="7" t="s">
        <v>428</v>
      </c>
      <c r="D2920" s="34">
        <f>台时!D42</f>
        <v>23.9179521340247</v>
      </c>
      <c r="E2920" s="34">
        <v>18.36</v>
      </c>
      <c r="F2920" s="34">
        <f>D2920*E2920</f>
        <v>439.133601180694</v>
      </c>
    </row>
    <row r="2921" customHeight="1" spans="1:6">
      <c r="A2921" s="7"/>
      <c r="B2921" s="7" t="s">
        <v>1009</v>
      </c>
      <c r="C2921" s="7" t="s">
        <v>428</v>
      </c>
      <c r="D2921" s="34">
        <f>台时!F42</f>
        <v>1.82152692461109</v>
      </c>
      <c r="E2921" s="34">
        <v>44</v>
      </c>
      <c r="F2921" s="34">
        <f>D2921*E2921</f>
        <v>80.1471846828879</v>
      </c>
    </row>
    <row r="2922" customHeight="1" spans="1:6">
      <c r="A2922" s="7"/>
      <c r="B2922" s="7" t="s">
        <v>1118</v>
      </c>
      <c r="C2922" s="7" t="s">
        <v>428</v>
      </c>
      <c r="D2922" s="34">
        <f>台时!F63</f>
        <v>95.890325887515</v>
      </c>
      <c r="E2922" s="34">
        <v>17.7</v>
      </c>
      <c r="F2922" s="34">
        <f>D2922*E2922</f>
        <v>1697.25876820901</v>
      </c>
    </row>
    <row r="2923" customHeight="1" spans="1:6">
      <c r="A2923" s="7"/>
      <c r="B2923" s="7" t="s">
        <v>918</v>
      </c>
      <c r="C2923" s="9" t="s">
        <v>845</v>
      </c>
      <c r="D2923" s="254">
        <f>SUM(F2919:F2922)</f>
        <v>2290.62429080973</v>
      </c>
      <c r="E2923" s="34">
        <v>15</v>
      </c>
      <c r="F2923" s="34">
        <f>D2923*E2923/100</f>
        <v>343.59364362146</v>
      </c>
    </row>
    <row r="2924" s="219" customFormat="1" customHeight="1" spans="1:6">
      <c r="A2924" s="5" t="s">
        <v>121</v>
      </c>
      <c r="B2924" s="5" t="s">
        <v>1010</v>
      </c>
      <c r="C2924" s="275"/>
      <c r="D2924" s="276"/>
      <c r="E2924" s="276"/>
      <c r="F2924" s="276">
        <f>SUM(F2925:F2926)</f>
        <v>1972.31972351059</v>
      </c>
    </row>
    <row r="2925" s="216" customFormat="1" customHeight="1" spans="1:6">
      <c r="A2925" s="7"/>
      <c r="B2925" s="123" t="s">
        <v>681</v>
      </c>
      <c r="C2925" s="123" t="s">
        <v>169</v>
      </c>
      <c r="D2925" s="274">
        <f>$F$2795/100</f>
        <v>5.03319379720782</v>
      </c>
      <c r="E2925" s="274">
        <v>102</v>
      </c>
      <c r="F2925" s="34">
        <f>D2925*E2925</f>
        <v>513.385767315197</v>
      </c>
    </row>
    <row r="2926" s="216" customFormat="1" customHeight="1" spans="1:6">
      <c r="A2926" s="7"/>
      <c r="B2926" s="123" t="s">
        <v>682</v>
      </c>
      <c r="C2926" s="123" t="s">
        <v>169</v>
      </c>
      <c r="D2926" s="274">
        <f>$F$2813/100</f>
        <v>14.303274080347</v>
      </c>
      <c r="E2926" s="274">
        <v>102</v>
      </c>
      <c r="F2926" s="34">
        <f>D2926*E2926</f>
        <v>1458.9339561954</v>
      </c>
    </row>
    <row r="2927" customHeight="1" spans="1:6">
      <c r="A2927" s="7"/>
      <c r="B2927" s="7" t="s">
        <v>1119</v>
      </c>
      <c r="C2927" s="7"/>
      <c r="D2927" s="34"/>
      <c r="E2927" s="34"/>
      <c r="F2927" s="34">
        <f>F2909+F2912+F2918+F2924</f>
        <v>47285.1594855018</v>
      </c>
    </row>
    <row r="2928" customHeight="1" spans="1:6">
      <c r="A2928" s="7"/>
      <c r="B2928" s="7"/>
      <c r="C2928" s="7"/>
      <c r="D2928" s="34"/>
      <c r="E2928" s="34"/>
      <c r="F2928" s="34"/>
    </row>
    <row r="2929" customHeight="1" spans="1:6">
      <c r="A2929" s="7"/>
      <c r="B2929" s="7"/>
      <c r="C2929" s="7"/>
      <c r="D2929" s="34"/>
      <c r="E2929" s="34"/>
      <c r="F2929" s="34"/>
    </row>
    <row r="2930" customHeight="1" spans="1:6">
      <c r="A2930" s="7"/>
      <c r="B2930" s="7"/>
      <c r="C2930" s="7"/>
      <c r="D2930" s="34"/>
      <c r="E2930" s="34"/>
      <c r="F2930" s="34"/>
    </row>
    <row r="2931" customHeight="1" spans="1:6">
      <c r="A2931" s="7"/>
      <c r="B2931" s="7"/>
      <c r="C2931" s="7"/>
      <c r="D2931" s="34"/>
      <c r="E2931" s="34"/>
      <c r="F2931" s="34"/>
    </row>
    <row r="2932" customHeight="1" spans="1:6">
      <c r="A2932" s="7"/>
      <c r="B2932" s="7"/>
      <c r="C2932" s="7"/>
      <c r="D2932" s="34"/>
      <c r="E2932" s="34"/>
      <c r="F2932" s="34"/>
    </row>
    <row r="2933" customHeight="1" spans="1:6">
      <c r="A2933" s="7"/>
      <c r="B2933" s="7"/>
      <c r="C2933" s="7"/>
      <c r="D2933" s="34"/>
      <c r="E2933" s="34"/>
      <c r="F2933" s="34"/>
    </row>
    <row r="2934" customHeight="1" spans="1:6">
      <c r="A2934" s="7"/>
      <c r="B2934" s="7"/>
      <c r="C2934" s="7"/>
      <c r="D2934" s="34"/>
      <c r="E2934" s="34"/>
      <c r="F2934" s="34"/>
    </row>
    <row r="2935" customHeight="1" spans="1:6">
      <c r="A2935" s="7"/>
      <c r="B2935" s="7"/>
      <c r="C2935" s="7"/>
      <c r="D2935" s="34"/>
      <c r="E2935" s="34"/>
      <c r="F2935" s="34"/>
    </row>
    <row r="2936" customHeight="1" spans="1:6">
      <c r="A2936" s="7"/>
      <c r="B2936" s="7"/>
      <c r="C2936" s="7"/>
      <c r="D2936" s="34"/>
      <c r="E2936" s="34"/>
      <c r="F2936" s="34"/>
    </row>
    <row r="2937" customHeight="1" spans="1:6">
      <c r="A2937" s="7"/>
      <c r="B2937" s="7"/>
      <c r="C2937" s="7"/>
      <c r="D2937" s="34"/>
      <c r="E2937" s="34"/>
      <c r="F2937" s="34"/>
    </row>
    <row r="2938" customHeight="1" spans="1:6">
      <c r="A2938" s="7"/>
      <c r="B2938" s="7"/>
      <c r="C2938" s="7"/>
      <c r="D2938" s="34"/>
      <c r="E2938" s="34"/>
      <c r="F2938" s="34"/>
    </row>
    <row r="2939" customHeight="1" spans="1:6">
      <c r="A2939" s="7"/>
      <c r="B2939" s="7"/>
      <c r="C2939" s="7"/>
      <c r="D2939" s="34"/>
      <c r="E2939" s="34"/>
      <c r="F2939" s="34"/>
    </row>
    <row r="2940" customHeight="1" spans="1:6">
      <c r="A2940" s="7"/>
      <c r="B2940" s="7"/>
      <c r="C2940" s="7"/>
      <c r="D2940" s="34"/>
      <c r="E2940" s="34"/>
      <c r="F2940" s="34"/>
    </row>
    <row r="2941" customHeight="1" spans="1:6">
      <c r="A2941" s="7"/>
      <c r="B2941" s="7"/>
      <c r="C2941" s="7"/>
      <c r="D2941" s="34"/>
      <c r="E2941" s="34"/>
      <c r="F2941" s="34"/>
    </row>
    <row r="2942" ht="17.1" customHeight="1" spans="1:12">
      <c r="A2942" s="224" t="s">
        <v>828</v>
      </c>
      <c r="B2942" s="225"/>
      <c r="C2942" s="225"/>
      <c r="D2942" s="225"/>
      <c r="E2942" s="225"/>
      <c r="F2942" s="225"/>
      <c r="G2942" s="224" t="s">
        <v>828</v>
      </c>
      <c r="H2942" s="225"/>
      <c r="I2942" s="225"/>
      <c r="J2942" s="225"/>
      <c r="K2942" s="225"/>
      <c r="L2942" s="225"/>
    </row>
    <row r="2943" ht="17.1" customHeight="1" spans="1:12">
      <c r="A2943" s="296" t="s">
        <v>1126</v>
      </c>
      <c r="B2943" s="296"/>
      <c r="C2943" s="296"/>
      <c r="D2943" s="296"/>
      <c r="E2943" s="296"/>
      <c r="F2943" s="296"/>
      <c r="G2943" s="296" t="s">
        <v>1127</v>
      </c>
      <c r="H2943" s="296"/>
      <c r="I2943" s="296"/>
      <c r="J2943" s="296"/>
      <c r="K2943" s="296"/>
      <c r="L2943" s="296"/>
    </row>
    <row r="2944" ht="17.1" customHeight="1" spans="1:12">
      <c r="A2944" s="228" t="s">
        <v>1121</v>
      </c>
      <c r="B2944" s="228"/>
      <c r="C2944" s="229"/>
      <c r="D2944" s="229"/>
      <c r="E2944" s="228" t="s">
        <v>832</v>
      </c>
      <c r="F2944" s="228"/>
      <c r="G2944" s="228" t="s">
        <v>1121</v>
      </c>
      <c r="H2944" s="228"/>
      <c r="I2944" s="229"/>
      <c r="J2944" s="229"/>
      <c r="K2944" s="228" t="s">
        <v>832</v>
      </c>
      <c r="L2944" s="228"/>
    </row>
    <row r="2945" ht="17.1" customHeight="1" spans="1:12">
      <c r="A2945" s="146" t="s">
        <v>911</v>
      </c>
      <c r="B2945" s="233"/>
      <c r="C2945" s="233"/>
      <c r="D2945" s="233"/>
      <c r="E2945" s="233"/>
      <c r="F2945" s="147"/>
      <c r="G2945" s="146" t="s">
        <v>911</v>
      </c>
      <c r="H2945" s="233"/>
      <c r="I2945" s="233"/>
      <c r="J2945" s="233"/>
      <c r="K2945" s="233"/>
      <c r="L2945" s="147"/>
    </row>
    <row r="2946" ht="17.1" customHeight="1" spans="1:12">
      <c r="A2946" s="7" t="s">
        <v>104</v>
      </c>
      <c r="B2946" s="7" t="s">
        <v>835</v>
      </c>
      <c r="C2946" s="7" t="s">
        <v>159</v>
      </c>
      <c r="D2946" s="7" t="s">
        <v>422</v>
      </c>
      <c r="E2946" s="7" t="s">
        <v>160</v>
      </c>
      <c r="F2946" s="7" t="s">
        <v>18</v>
      </c>
      <c r="G2946" s="7" t="s">
        <v>104</v>
      </c>
      <c r="H2946" s="7" t="s">
        <v>835</v>
      </c>
      <c r="I2946" s="7" t="s">
        <v>159</v>
      </c>
      <c r="J2946" s="7" t="s">
        <v>422</v>
      </c>
      <c r="K2946" s="7" t="s">
        <v>160</v>
      </c>
      <c r="L2946" s="7" t="s">
        <v>18</v>
      </c>
    </row>
    <row r="2947" ht="17.1" customHeight="1" spans="1:12">
      <c r="A2947" s="7" t="s">
        <v>836</v>
      </c>
      <c r="B2947" s="7" t="s">
        <v>837</v>
      </c>
      <c r="C2947" s="7"/>
      <c r="D2947" s="7"/>
      <c r="E2947" s="7"/>
      <c r="F2947" s="34">
        <f>F2948+F2966+F2967</f>
        <v>62020.3194514324</v>
      </c>
      <c r="G2947" s="7" t="s">
        <v>836</v>
      </c>
      <c r="H2947" s="7" t="s">
        <v>837</v>
      </c>
      <c r="I2947" s="7"/>
      <c r="J2947" s="7"/>
      <c r="K2947" s="7"/>
      <c r="L2947" s="34">
        <f>L2948+L2966+L2967</f>
        <v>62020.3194514324</v>
      </c>
    </row>
    <row r="2948" ht="17.1" customHeight="1" spans="1:12">
      <c r="A2948" s="7" t="s">
        <v>539</v>
      </c>
      <c r="B2948" s="7" t="s">
        <v>838</v>
      </c>
      <c r="C2948" s="7"/>
      <c r="D2948" s="7"/>
      <c r="E2948" s="7"/>
      <c r="F2948" s="34">
        <f>F2949+F2952+F2959+F2964</f>
        <v>59179.6941330462</v>
      </c>
      <c r="G2948" s="7" t="s">
        <v>539</v>
      </c>
      <c r="H2948" s="7" t="s">
        <v>838</v>
      </c>
      <c r="I2948" s="7"/>
      <c r="J2948" s="7"/>
      <c r="K2948" s="7"/>
      <c r="L2948" s="34">
        <f>L2949+L2952+L2959+L2964</f>
        <v>59179.6941330462</v>
      </c>
    </row>
    <row r="2949" ht="17.1" customHeight="1" spans="1:12">
      <c r="A2949" s="7">
        <v>1</v>
      </c>
      <c r="B2949" s="7" t="s">
        <v>839</v>
      </c>
      <c r="C2949" s="7" t="s">
        <v>840</v>
      </c>
      <c r="D2949" s="34"/>
      <c r="E2949" s="42">
        <f>SUM(E2950:E2951)</f>
        <v>574.6</v>
      </c>
      <c r="F2949" s="69">
        <f>SUM(F2950:F2951)</f>
        <v>4654.26</v>
      </c>
      <c r="G2949" s="7">
        <v>1</v>
      </c>
      <c r="H2949" s="7" t="s">
        <v>839</v>
      </c>
      <c r="I2949" s="7" t="s">
        <v>840</v>
      </c>
      <c r="J2949" s="34"/>
      <c r="K2949" s="42">
        <f>SUM(K2950:K2951)</f>
        <v>574.6</v>
      </c>
      <c r="L2949" s="69">
        <f>SUM(L2950:L2951)</f>
        <v>4654.26</v>
      </c>
    </row>
    <row r="2950" s="217" customFormat="1" ht="17.1" customHeight="1" spans="1:12">
      <c r="A2950" s="7"/>
      <c r="B2950" s="7" t="s">
        <v>841</v>
      </c>
      <c r="C2950" s="7" t="s">
        <v>840</v>
      </c>
      <c r="D2950" s="69">
        <f>D2910</f>
        <v>8.1</v>
      </c>
      <c r="E2950" s="42">
        <v>574.6</v>
      </c>
      <c r="F2950" s="69">
        <f t="shared" ref="F2950:F2957" si="215">D2950*E2950</f>
        <v>4654.26</v>
      </c>
      <c r="G2950" s="7"/>
      <c r="H2950" s="7" t="s">
        <v>841</v>
      </c>
      <c r="I2950" s="7" t="s">
        <v>840</v>
      </c>
      <c r="J2950" s="69">
        <f>D2950</f>
        <v>8.1</v>
      </c>
      <c r="K2950" s="42">
        <v>574.6</v>
      </c>
      <c r="L2950" s="69">
        <f>J2950*K2950</f>
        <v>4654.26</v>
      </c>
    </row>
    <row r="2951" s="217" customFormat="1" ht="17.1" customHeight="1" spans="1:12">
      <c r="A2951" s="7"/>
      <c r="B2951" s="7" t="s">
        <v>842</v>
      </c>
      <c r="C2951" s="7" t="s">
        <v>840</v>
      </c>
      <c r="D2951" s="69">
        <f>D2911</f>
        <v>5.77</v>
      </c>
      <c r="E2951" s="42">
        <v>0</v>
      </c>
      <c r="F2951" s="69">
        <f t="shared" si="215"/>
        <v>0</v>
      </c>
      <c r="G2951" s="7"/>
      <c r="H2951" s="7" t="s">
        <v>842</v>
      </c>
      <c r="I2951" s="7" t="s">
        <v>840</v>
      </c>
      <c r="J2951" s="69">
        <f>D2951</f>
        <v>5.77</v>
      </c>
      <c r="K2951" s="42">
        <v>0</v>
      </c>
      <c r="L2951" s="69">
        <f>J2951*K2951</f>
        <v>0</v>
      </c>
    </row>
    <row r="2952" ht="17.1" customHeight="1" spans="1:12">
      <c r="A2952" s="7">
        <v>2</v>
      </c>
      <c r="B2952" s="7" t="s">
        <v>912</v>
      </c>
      <c r="C2952" s="7"/>
      <c r="D2952" s="34"/>
      <c r="E2952" s="34"/>
      <c r="F2952" s="254">
        <f>SUM(F2953:F2958)</f>
        <v>52057.2787947918</v>
      </c>
      <c r="G2952" s="7">
        <v>2</v>
      </c>
      <c r="H2952" s="7" t="s">
        <v>912</v>
      </c>
      <c r="I2952" s="7"/>
      <c r="J2952" s="34"/>
      <c r="K2952" s="34"/>
      <c r="L2952" s="254">
        <f>SUM(L2953:L2958)</f>
        <v>52057.2787947918</v>
      </c>
    </row>
    <row r="2953" ht="17.1" customHeight="1" spans="1:12">
      <c r="A2953" s="7"/>
      <c r="B2953" s="273" t="s">
        <v>996</v>
      </c>
      <c r="C2953" s="273" t="s">
        <v>169</v>
      </c>
      <c r="D2953" s="34">
        <f>D2913</f>
        <v>2238.008025</v>
      </c>
      <c r="E2953" s="34">
        <v>0.19</v>
      </c>
      <c r="F2953" s="34">
        <f t="shared" si="215"/>
        <v>425.22152475</v>
      </c>
      <c r="G2953" s="7"/>
      <c r="H2953" s="273" t="s">
        <v>996</v>
      </c>
      <c r="I2953" s="273" t="s">
        <v>169</v>
      </c>
      <c r="J2953" s="34">
        <f>D2953</f>
        <v>2238.008025</v>
      </c>
      <c r="K2953" s="34">
        <v>0.19</v>
      </c>
      <c r="L2953" s="34">
        <f>J2953*K2953</f>
        <v>425.22152475</v>
      </c>
    </row>
    <row r="2954" ht="17.1" customHeight="1" spans="1:12">
      <c r="A2954" s="7"/>
      <c r="B2954" s="273" t="s">
        <v>1122</v>
      </c>
      <c r="C2954" s="273" t="s">
        <v>169</v>
      </c>
      <c r="D2954" s="34">
        <f>D2953</f>
        <v>2238.008025</v>
      </c>
      <c r="E2954" s="34">
        <v>0.62</v>
      </c>
      <c r="F2954" s="34">
        <f t="shared" si="215"/>
        <v>1387.5649755</v>
      </c>
      <c r="G2954" s="7"/>
      <c r="H2954" s="273" t="s">
        <v>1122</v>
      </c>
      <c r="I2954" s="273" t="s">
        <v>169</v>
      </c>
      <c r="J2954" s="34">
        <f>D2954</f>
        <v>2238.008025</v>
      </c>
      <c r="K2954" s="34">
        <v>0.62</v>
      </c>
      <c r="L2954" s="34">
        <f>J2954*K2954</f>
        <v>1387.5649755</v>
      </c>
    </row>
    <row r="2955" ht="17.1" customHeight="1" spans="1:12">
      <c r="A2955" s="7"/>
      <c r="B2955" s="7" t="s">
        <v>977</v>
      </c>
      <c r="C2955" s="273" t="s">
        <v>169</v>
      </c>
      <c r="D2955" s="34">
        <f>配合比!M13</f>
        <v>125.82823</v>
      </c>
      <c r="E2955" s="34">
        <v>1.8</v>
      </c>
      <c r="F2955" s="34">
        <f t="shared" si="215"/>
        <v>226.490814</v>
      </c>
      <c r="G2955" s="7"/>
      <c r="H2955" s="7" t="s">
        <v>977</v>
      </c>
      <c r="I2955" s="273" t="s">
        <v>169</v>
      </c>
      <c r="J2955" s="34">
        <f>D2955</f>
        <v>125.82823</v>
      </c>
      <c r="K2955" s="34">
        <v>1.8</v>
      </c>
      <c r="L2955" s="34">
        <f>J2955*K2955</f>
        <v>226.490814</v>
      </c>
    </row>
    <row r="2956" ht="17.1" customHeight="1" spans="1:12">
      <c r="A2956" s="7"/>
      <c r="B2956" s="7" t="s">
        <v>1123</v>
      </c>
      <c r="C2956" s="273" t="s">
        <v>169</v>
      </c>
      <c r="D2956" s="34">
        <f>F2927/100</f>
        <v>472.851594855018</v>
      </c>
      <c r="E2956" s="34">
        <v>100</v>
      </c>
      <c r="F2956" s="34">
        <f t="shared" si="215"/>
        <v>47285.1594855018</v>
      </c>
      <c r="G2956" s="7"/>
      <c r="H2956" s="7" t="s">
        <v>1123</v>
      </c>
      <c r="I2956" s="273" t="s">
        <v>169</v>
      </c>
      <c r="J2956" s="34">
        <f>D2956</f>
        <v>472.851594855018</v>
      </c>
      <c r="K2956" s="34">
        <v>100</v>
      </c>
      <c r="L2956" s="34">
        <f>J2956*K2956</f>
        <v>47285.1594855018</v>
      </c>
    </row>
    <row r="2957" ht="17.1" customHeight="1" spans="1:12">
      <c r="A2957" s="7"/>
      <c r="B2957" s="7" t="s">
        <v>1016</v>
      </c>
      <c r="C2957" s="273" t="s">
        <v>169</v>
      </c>
      <c r="D2957" s="34">
        <f>配合比!M10</f>
        <v>183.2481895</v>
      </c>
      <c r="E2957" s="34">
        <v>13.5</v>
      </c>
      <c r="F2957" s="34">
        <f t="shared" si="215"/>
        <v>2473.85055825</v>
      </c>
      <c r="G2957" s="7"/>
      <c r="H2957" s="7" t="s">
        <v>1016</v>
      </c>
      <c r="I2957" s="273" t="s">
        <v>169</v>
      </c>
      <c r="J2957" s="34">
        <f>D2957</f>
        <v>183.2481895</v>
      </c>
      <c r="K2957" s="34">
        <v>13.5</v>
      </c>
      <c r="L2957" s="34">
        <f>J2957*K2957</f>
        <v>2473.85055825</v>
      </c>
    </row>
    <row r="2958" ht="17.1" customHeight="1" spans="1:12">
      <c r="A2958" s="7"/>
      <c r="B2958" s="7" t="s">
        <v>1004</v>
      </c>
      <c r="C2958" s="300" t="s">
        <v>845</v>
      </c>
      <c r="D2958" s="254">
        <f>SUM(F2953:F2957)</f>
        <v>51798.2873580018</v>
      </c>
      <c r="E2958" s="34">
        <v>0.5</v>
      </c>
      <c r="F2958" s="34">
        <f>D2958*E2958/100</f>
        <v>258.991436790009</v>
      </c>
      <c r="G2958" s="7"/>
      <c r="H2958" s="7" t="s">
        <v>1004</v>
      </c>
      <c r="I2958" s="300" t="s">
        <v>845</v>
      </c>
      <c r="J2958" s="254">
        <f>SUM(L2953:L2957)</f>
        <v>51798.2873580018</v>
      </c>
      <c r="K2958" s="34">
        <v>0.5</v>
      </c>
      <c r="L2958" s="34">
        <f>J2958*K2958/100</f>
        <v>258.991436790009</v>
      </c>
    </row>
    <row r="2959" ht="17.1" customHeight="1" spans="1:12">
      <c r="A2959" s="7">
        <v>3</v>
      </c>
      <c r="B2959" s="7" t="s">
        <v>859</v>
      </c>
      <c r="C2959" s="7"/>
      <c r="D2959" s="34"/>
      <c r="E2959" s="34"/>
      <c r="F2959" s="254">
        <f>SUM(F2960:F2963)</f>
        <v>2400.20722199213</v>
      </c>
      <c r="G2959" s="7">
        <v>3</v>
      </c>
      <c r="H2959" s="7" t="s">
        <v>859</v>
      </c>
      <c r="I2959" s="7"/>
      <c r="J2959" s="34"/>
      <c r="K2959" s="34"/>
      <c r="L2959" s="254">
        <f>SUM(L2960:L2963)</f>
        <v>2400.20722199213</v>
      </c>
    </row>
    <row r="2960" ht="17.1" customHeight="1" spans="1:12">
      <c r="A2960" s="7"/>
      <c r="B2960" s="7" t="s">
        <v>1124</v>
      </c>
      <c r="C2960" s="7" t="s">
        <v>428</v>
      </c>
      <c r="D2960" s="34">
        <f>台时!F84</f>
        <v>62.3342780215397</v>
      </c>
      <c r="E2960" s="34">
        <v>37</v>
      </c>
      <c r="F2960" s="34">
        <f>D2960*E2960</f>
        <v>2306.36828679697</v>
      </c>
      <c r="G2960" s="7"/>
      <c r="H2960" s="7" t="s">
        <v>1124</v>
      </c>
      <c r="I2960" s="7" t="s">
        <v>428</v>
      </c>
      <c r="J2960" s="34">
        <f>D2960</f>
        <v>62.3342780215397</v>
      </c>
      <c r="K2960" s="34">
        <v>37</v>
      </c>
      <c r="L2960" s="34">
        <f>J2960*K2960</f>
        <v>2306.36828679697</v>
      </c>
    </row>
    <row r="2961" ht="17.1" customHeight="1" spans="1:12">
      <c r="A2961" s="7"/>
      <c r="B2961" s="7" t="s">
        <v>1117</v>
      </c>
      <c r="C2961" s="7" t="s">
        <v>428</v>
      </c>
      <c r="D2961" s="34">
        <f>台时!D42</f>
        <v>23.9179521340247</v>
      </c>
      <c r="E2961" s="34">
        <v>2.5029</v>
      </c>
      <c r="F2961" s="34">
        <f>D2961*E2961</f>
        <v>59.8642423962505</v>
      </c>
      <c r="G2961" s="7"/>
      <c r="H2961" s="7" t="s">
        <v>1117</v>
      </c>
      <c r="I2961" s="7" t="s">
        <v>428</v>
      </c>
      <c r="J2961" s="34">
        <f>D2961</f>
        <v>23.9179521340247</v>
      </c>
      <c r="K2961" s="34">
        <v>2.5029</v>
      </c>
      <c r="L2961" s="34">
        <f>J2961*K2961</f>
        <v>59.8642423962505</v>
      </c>
    </row>
    <row r="2962" ht="17.1" customHeight="1" spans="1:12">
      <c r="A2962" s="7"/>
      <c r="B2962" s="7" t="s">
        <v>967</v>
      </c>
      <c r="C2962" s="7" t="s">
        <v>428</v>
      </c>
      <c r="D2962" s="69">
        <f>台时!C42</f>
        <v>0.813242919824491</v>
      </c>
      <c r="E2962" s="251">
        <v>12.555</v>
      </c>
      <c r="F2962" s="34">
        <f>D2962*E2962</f>
        <v>10.2102648583965</v>
      </c>
      <c r="G2962" s="7"/>
      <c r="H2962" s="7" t="s">
        <v>967</v>
      </c>
      <c r="I2962" s="7" t="s">
        <v>428</v>
      </c>
      <c r="J2962" s="69">
        <f>D2962</f>
        <v>0.813242919824491</v>
      </c>
      <c r="K2962" s="251">
        <v>12.555</v>
      </c>
      <c r="L2962" s="34">
        <f>J2962*K2962</f>
        <v>10.2102648583965</v>
      </c>
    </row>
    <row r="2963" ht="17.1" customHeight="1" spans="1:12">
      <c r="A2963" s="7"/>
      <c r="B2963" s="7" t="s">
        <v>918</v>
      </c>
      <c r="C2963" s="9" t="s">
        <v>845</v>
      </c>
      <c r="D2963" s="254">
        <f>SUM(F2960:F2962)</f>
        <v>2376.44279405162</v>
      </c>
      <c r="E2963" s="34">
        <v>1</v>
      </c>
      <c r="F2963" s="34">
        <f>D2963*E2963/100</f>
        <v>23.7644279405162</v>
      </c>
      <c r="G2963" s="7"/>
      <c r="H2963" s="7" t="s">
        <v>918</v>
      </c>
      <c r="I2963" s="9" t="s">
        <v>845</v>
      </c>
      <c r="J2963" s="254">
        <f>SUM(L2960:L2962)</f>
        <v>2376.44279405162</v>
      </c>
      <c r="K2963" s="34">
        <v>1</v>
      </c>
      <c r="L2963" s="34">
        <f>J2963*K2963/100</f>
        <v>23.7644279405162</v>
      </c>
    </row>
    <row r="2964" ht="17.1" customHeight="1" spans="1:12">
      <c r="A2964" s="7">
        <v>4</v>
      </c>
      <c r="B2964" s="7" t="s">
        <v>1010</v>
      </c>
      <c r="C2964" s="275"/>
      <c r="D2964" s="254"/>
      <c r="E2964" s="34"/>
      <c r="F2964" s="34">
        <f>F2965</f>
        <v>67.9481162623055</v>
      </c>
      <c r="G2964" s="7">
        <v>4</v>
      </c>
      <c r="H2964" s="7" t="s">
        <v>1010</v>
      </c>
      <c r="I2964" s="275"/>
      <c r="J2964" s="254"/>
      <c r="K2964" s="34"/>
      <c r="L2964" s="34">
        <f>L2965</f>
        <v>67.9481162623055</v>
      </c>
    </row>
    <row r="2965" ht="17.1" customHeight="1" spans="1:12">
      <c r="A2965" s="7"/>
      <c r="B2965" s="123" t="s">
        <v>681</v>
      </c>
      <c r="C2965" s="123" t="s">
        <v>169</v>
      </c>
      <c r="D2965" s="254">
        <f>D2925</f>
        <v>5.03319379720782</v>
      </c>
      <c r="E2965" s="34">
        <v>13.5</v>
      </c>
      <c r="F2965" s="34">
        <f>D2965*E2965</f>
        <v>67.9481162623055</v>
      </c>
      <c r="G2965" s="7"/>
      <c r="H2965" s="123" t="s">
        <v>681</v>
      </c>
      <c r="I2965" s="123" t="s">
        <v>169</v>
      </c>
      <c r="J2965" s="254">
        <f>D2965</f>
        <v>5.03319379720782</v>
      </c>
      <c r="K2965" s="34">
        <v>13.5</v>
      </c>
      <c r="L2965" s="34">
        <f>J2965*K2965</f>
        <v>67.9481162623055</v>
      </c>
    </row>
    <row r="2966" ht="17.1" customHeight="1" spans="1:12">
      <c r="A2966" s="7" t="s">
        <v>564</v>
      </c>
      <c r="B2966" s="7" t="s">
        <v>846</v>
      </c>
      <c r="C2966" s="230">
        <f>取费表!$C$7</f>
        <v>0.048</v>
      </c>
      <c r="D2966" s="254"/>
      <c r="E2966" s="34">
        <f>F2948</f>
        <v>59179.6941330462</v>
      </c>
      <c r="F2966" s="34">
        <f>E2966*C2966</f>
        <v>2840.62531838622</v>
      </c>
      <c r="G2966" s="7" t="s">
        <v>564</v>
      </c>
      <c r="H2966" s="7" t="s">
        <v>846</v>
      </c>
      <c r="I2966" s="230">
        <f>取费表!$C$7</f>
        <v>0.048</v>
      </c>
      <c r="J2966" s="254"/>
      <c r="K2966" s="34">
        <f>L2948</f>
        <v>59179.6941330462</v>
      </c>
      <c r="L2966" s="34">
        <f>K2966*I2966</f>
        <v>2840.62531838622</v>
      </c>
    </row>
    <row r="2967" ht="17.1" customHeight="1" spans="1:12">
      <c r="A2967" s="7"/>
      <c r="B2967" s="7"/>
      <c r="C2967" s="230"/>
      <c r="D2967" s="254"/>
      <c r="E2967" s="34"/>
      <c r="F2967" s="34"/>
      <c r="G2967" s="7"/>
      <c r="H2967" s="7"/>
      <c r="I2967" s="230"/>
      <c r="J2967" s="254"/>
      <c r="K2967" s="34"/>
      <c r="L2967" s="34"/>
    </row>
    <row r="2968" ht="17.1" customHeight="1" spans="1:12">
      <c r="A2968" s="7" t="s">
        <v>439</v>
      </c>
      <c r="B2968" s="7" t="s">
        <v>847</v>
      </c>
      <c r="C2968" s="230">
        <f>取费表!$E$7</f>
        <v>0.07</v>
      </c>
      <c r="D2968" s="254"/>
      <c r="E2968" s="34">
        <f>F2947</f>
        <v>62020.3194514324</v>
      </c>
      <c r="F2968" s="34">
        <f>E2968*C2968</f>
        <v>4341.42236160027</v>
      </c>
      <c r="G2968" s="7" t="s">
        <v>439</v>
      </c>
      <c r="H2968" s="7" t="s">
        <v>847</v>
      </c>
      <c r="I2968" s="230">
        <f>取费表!$E$7</f>
        <v>0.07</v>
      </c>
      <c r="J2968" s="254"/>
      <c r="K2968" s="34">
        <f>L2947</f>
        <v>62020.3194514324</v>
      </c>
      <c r="L2968" s="34">
        <f>K2968*I2968</f>
        <v>4341.42236160027</v>
      </c>
    </row>
    <row r="2969" ht="17.1" customHeight="1" spans="1:12">
      <c r="A2969" s="7" t="s">
        <v>83</v>
      </c>
      <c r="B2969" s="7" t="s">
        <v>848</v>
      </c>
      <c r="C2969" s="230">
        <f>取费表!$F$7</f>
        <v>0.07</v>
      </c>
      <c r="D2969" s="254"/>
      <c r="E2969" s="34">
        <f>F2968+F2947</f>
        <v>66361.7418130327</v>
      </c>
      <c r="F2969" s="34">
        <f>E2969*C2969</f>
        <v>4645.32192691229</v>
      </c>
      <c r="G2969" s="7" t="s">
        <v>83</v>
      </c>
      <c r="H2969" s="7" t="s">
        <v>848</v>
      </c>
      <c r="I2969" s="230">
        <f>取费表!$F$7</f>
        <v>0.07</v>
      </c>
      <c r="J2969" s="254"/>
      <c r="K2969" s="34">
        <f>L2968+L2947</f>
        <v>66361.7418130327</v>
      </c>
      <c r="L2969" s="34">
        <f>K2969*I2969</f>
        <v>4645.32192691229</v>
      </c>
    </row>
    <row r="2970" s="220" customFormat="1" ht="17.1" customHeight="1" spans="1:12">
      <c r="A2970" s="5" t="s">
        <v>121</v>
      </c>
      <c r="B2970" s="5" t="s">
        <v>861</v>
      </c>
      <c r="C2970" s="275"/>
      <c r="D2970" s="276"/>
      <c r="E2970" s="5"/>
      <c r="F2970" s="277">
        <f>F2971+F2976</f>
        <v>10565.076992798</v>
      </c>
      <c r="G2970" s="5" t="s">
        <v>121</v>
      </c>
      <c r="H2970" s="5" t="s">
        <v>861</v>
      </c>
      <c r="I2970" s="275"/>
      <c r="J2970" s="276"/>
      <c r="K2970" s="5"/>
      <c r="L2970" s="277">
        <f>L2971+L2976</f>
        <v>14222.3630476954</v>
      </c>
    </row>
    <row r="2971" ht="17.1" customHeight="1" spans="1:12">
      <c r="A2971" s="7">
        <v>1</v>
      </c>
      <c r="B2971" s="7" t="s">
        <v>1011</v>
      </c>
      <c r="C2971" s="9"/>
      <c r="D2971" s="34"/>
      <c r="E2971" s="7"/>
      <c r="F2971" s="69">
        <f>SUM(F2972:F2975)</f>
        <v>9229.58199279803</v>
      </c>
      <c r="G2971" s="7">
        <v>1</v>
      </c>
      <c r="H2971" s="7" t="s">
        <v>1011</v>
      </c>
      <c r="I2971" s="9"/>
      <c r="J2971" s="34"/>
      <c r="K2971" s="7"/>
      <c r="L2971" s="69">
        <f>SUM(L2972:L2975)</f>
        <v>12886.8680476954</v>
      </c>
    </row>
    <row r="2972" ht="17.1" customHeight="1" spans="1:12">
      <c r="A2972" s="7"/>
      <c r="B2972" s="7"/>
      <c r="C2972" s="7"/>
      <c r="D2972" s="34"/>
      <c r="E2972" s="34"/>
      <c r="F2972" s="69"/>
      <c r="G2972" s="7"/>
      <c r="H2972" s="7"/>
      <c r="I2972" s="7"/>
      <c r="J2972" s="34"/>
      <c r="K2972" s="34"/>
      <c r="L2972" s="69"/>
    </row>
    <row r="2973" ht="17.1" customHeight="1" spans="1:12">
      <c r="A2973" s="7"/>
      <c r="B2973" s="7" t="s">
        <v>979</v>
      </c>
      <c r="C2973" s="7" t="s">
        <v>200</v>
      </c>
      <c r="D2973" s="34">
        <f>材料预算价!K5-材料预算价!L5</f>
        <v>141.58936</v>
      </c>
      <c r="E2973" s="34">
        <f>E2957*配合比!E10+E2956*0.01*E2915*配合比!E6</f>
        <v>29.57770398</v>
      </c>
      <c r="F2973" s="69">
        <f>D2973*E2973</f>
        <v>4187.88817679765</v>
      </c>
      <c r="G2973" s="7"/>
      <c r="H2973" s="7" t="s">
        <v>983</v>
      </c>
      <c r="I2973" s="7" t="s">
        <v>200</v>
      </c>
      <c r="J2973" s="34">
        <f>材料预算价!K6-材料预算价!L6</f>
        <v>265.23946</v>
      </c>
      <c r="K2973" s="34">
        <f>E2973</f>
        <v>29.57770398</v>
      </c>
      <c r="L2973" s="69">
        <f>J2973*K2973</f>
        <v>7845.17423169505</v>
      </c>
    </row>
    <row r="2974" ht="17.1" customHeight="1" spans="1:12">
      <c r="A2974" s="7"/>
      <c r="B2974" s="7" t="s">
        <v>961</v>
      </c>
      <c r="C2974" s="7" t="s">
        <v>169</v>
      </c>
      <c r="D2974" s="34">
        <f>D2893</f>
        <v>34.366056</v>
      </c>
      <c r="E2974" s="34">
        <f>E2957*配合比!G10+E2956*0.01*E2915*配合比!G6</f>
        <v>64.30809</v>
      </c>
      <c r="F2974" s="69">
        <f>D2974*E2974</f>
        <v>2210.01542219304</v>
      </c>
      <c r="G2974" s="7"/>
      <c r="H2974" s="7" t="s">
        <v>961</v>
      </c>
      <c r="I2974" s="7" t="s">
        <v>169</v>
      </c>
      <c r="J2974" s="34">
        <f>D2974</f>
        <v>34.366056</v>
      </c>
      <c r="K2974" s="34">
        <f>E2974</f>
        <v>64.30809</v>
      </c>
      <c r="L2974" s="69">
        <f>J2974*K2974</f>
        <v>2210.01542219304</v>
      </c>
    </row>
    <row r="2975" ht="17.1" customHeight="1" spans="1:12">
      <c r="A2975" s="7"/>
      <c r="B2975" s="7" t="s">
        <v>1012</v>
      </c>
      <c r="C2975" s="7" t="s">
        <v>169</v>
      </c>
      <c r="D2975" s="34">
        <f>材料预算价!K8-材料预算价!L8</f>
        <v>29.13701</v>
      </c>
      <c r="E2975" s="34">
        <f>E2957*配合比!I10+E2956*0.01*E2915*配合比!I6</f>
        <v>97.184934</v>
      </c>
      <c r="F2975" s="69">
        <f>D2975*E2975</f>
        <v>2831.67839380734</v>
      </c>
      <c r="G2975" s="7"/>
      <c r="H2975" s="7" t="s">
        <v>1012</v>
      </c>
      <c r="I2975" s="7" t="s">
        <v>169</v>
      </c>
      <c r="J2975" s="34">
        <f>D2975</f>
        <v>29.13701</v>
      </c>
      <c r="K2975" s="34">
        <f>E2975</f>
        <v>97.184934</v>
      </c>
      <c r="L2975" s="69">
        <f>J2975*K2975</f>
        <v>2831.67839380734</v>
      </c>
    </row>
    <row r="2976" ht="17.1" customHeight="1" spans="1:12">
      <c r="A2976" s="7">
        <v>2</v>
      </c>
      <c r="B2976" s="7" t="s">
        <v>1013</v>
      </c>
      <c r="C2976" s="7"/>
      <c r="D2976" s="34"/>
      <c r="E2976" s="38"/>
      <c r="F2976" s="69">
        <f>SUM(F2977:F2978)</f>
        <v>1335.495</v>
      </c>
      <c r="G2976" s="7">
        <v>2</v>
      </c>
      <c r="H2976" s="7" t="s">
        <v>1013</v>
      </c>
      <c r="I2976" s="7"/>
      <c r="J2976" s="34"/>
      <c r="K2976" s="38"/>
      <c r="L2976" s="69">
        <f>SUM(L2977:L2978)</f>
        <v>1335.495</v>
      </c>
    </row>
    <row r="2977" ht="17.1" customHeight="1" spans="1:12">
      <c r="A2977" s="7"/>
      <c r="B2977" s="7" t="s">
        <v>1014</v>
      </c>
      <c r="C2977" s="7" t="s">
        <v>863</v>
      </c>
      <c r="D2977" s="34">
        <f>材料预算价!K12-材料预算价!L12</f>
        <v>5.925</v>
      </c>
      <c r="E2977" s="38">
        <f>(E2919*7.2+E2960*5.8)</f>
        <v>225.4</v>
      </c>
      <c r="F2977" s="69">
        <f>D2977*E2977</f>
        <v>1335.495</v>
      </c>
      <c r="G2977" s="7"/>
      <c r="H2977" s="7" t="s">
        <v>1014</v>
      </c>
      <c r="I2977" s="7" t="s">
        <v>863</v>
      </c>
      <c r="J2977" s="34">
        <f>D2977</f>
        <v>5.925</v>
      </c>
      <c r="K2977" s="38">
        <f>E2977</f>
        <v>225.4</v>
      </c>
      <c r="L2977" s="69">
        <f>J2977*K2977</f>
        <v>1335.495</v>
      </c>
    </row>
    <row r="2978" ht="17.1" customHeight="1" spans="1:12">
      <c r="A2978" s="7"/>
      <c r="B2978" s="7" t="s">
        <v>862</v>
      </c>
      <c r="C2978" s="9" t="s">
        <v>863</v>
      </c>
      <c r="D2978" s="34">
        <f>材料预算价!K11-材料预算价!L11</f>
        <v>4.58</v>
      </c>
      <c r="E2978" s="38">
        <v>0</v>
      </c>
      <c r="F2978" s="69">
        <f>D2978*E2978</f>
        <v>0</v>
      </c>
      <c r="G2978" s="7"/>
      <c r="H2978" s="7" t="s">
        <v>862</v>
      </c>
      <c r="I2978" s="9" t="s">
        <v>863</v>
      </c>
      <c r="J2978" s="34">
        <f>D2978</f>
        <v>4.58</v>
      </c>
      <c r="K2978" s="38">
        <v>0</v>
      </c>
      <c r="L2978" s="69">
        <f>J2978*K2978</f>
        <v>0</v>
      </c>
    </row>
    <row r="2979" ht="17.1" customHeight="1" spans="1:12">
      <c r="A2979" s="7" t="s">
        <v>135</v>
      </c>
      <c r="B2979" s="7" t="s">
        <v>849</v>
      </c>
      <c r="C2979" s="231">
        <f>C2898</f>
        <v>0.09</v>
      </c>
      <c r="D2979" s="34"/>
      <c r="E2979" s="34">
        <f>E2969+F2969+F2970</f>
        <v>81572.140732743</v>
      </c>
      <c r="F2979" s="34">
        <f>E2979*C2979</f>
        <v>7341.49266594687</v>
      </c>
      <c r="G2979" s="7" t="s">
        <v>135</v>
      </c>
      <c r="H2979" s="7" t="s">
        <v>849</v>
      </c>
      <c r="I2979" s="231">
        <f>C2979</f>
        <v>0.09</v>
      </c>
      <c r="J2979" s="34"/>
      <c r="K2979" s="34">
        <f>K2969+L2969+L2970</f>
        <v>85229.4267876404</v>
      </c>
      <c r="L2979" s="34">
        <f>K2979*I2979</f>
        <v>7670.64841088763</v>
      </c>
    </row>
    <row r="2980" ht="17.1" customHeight="1" spans="1:12">
      <c r="A2980" s="7"/>
      <c r="B2980" s="7" t="s">
        <v>850</v>
      </c>
      <c r="C2980" s="231"/>
      <c r="D2980" s="34"/>
      <c r="E2980" s="34"/>
      <c r="F2980" s="34">
        <f>(F2947+F2968+F2969+F2970+F2979)*取费表!H4</f>
        <v>2667.4090019607</v>
      </c>
      <c r="G2980" s="7"/>
      <c r="H2980" s="7" t="s">
        <v>850</v>
      </c>
      <c r="I2980" s="231"/>
      <c r="J2980" s="34"/>
      <c r="K2980" s="34"/>
      <c r="L2980" s="34">
        <f>(L2947+L2968+L2969+L2970+L2979)*取费表!H7</f>
        <v>2787.00225595584</v>
      </c>
    </row>
    <row r="2981" ht="17.1" customHeight="1" spans="1:12">
      <c r="A2981" s="7"/>
      <c r="B2981" s="7" t="s">
        <v>156</v>
      </c>
      <c r="C2981" s="7"/>
      <c r="D2981" s="34"/>
      <c r="E2981" s="34"/>
      <c r="F2981" s="34">
        <f>F2979+E2979+F2980</f>
        <v>91581.0424006506</v>
      </c>
      <c r="G2981" s="7"/>
      <c r="H2981" s="7" t="s">
        <v>156</v>
      </c>
      <c r="I2981" s="7"/>
      <c r="J2981" s="34"/>
      <c r="K2981" s="34"/>
      <c r="L2981" s="34">
        <f>L2979+K2979+L2980</f>
        <v>95687.0774544839</v>
      </c>
    </row>
    <row r="2982" customHeight="1" spans="1:6">
      <c r="A2982" s="224" t="s">
        <v>828</v>
      </c>
      <c r="B2982" s="225"/>
      <c r="C2982" s="225"/>
      <c r="D2982" s="225"/>
      <c r="E2982" s="225"/>
      <c r="F2982" s="225"/>
    </row>
    <row r="2983" customHeight="1" spans="1:6">
      <c r="A2983" s="296" t="s">
        <v>1128</v>
      </c>
      <c r="B2983" s="296"/>
      <c r="C2983" s="296"/>
      <c r="D2983" s="296"/>
      <c r="E2983" s="296"/>
      <c r="F2983" s="296"/>
    </row>
    <row r="2984" customHeight="1" spans="1:6">
      <c r="A2984" s="227" t="s">
        <v>1115</v>
      </c>
      <c r="B2984" s="228"/>
      <c r="C2984" s="272"/>
      <c r="D2984" s="272"/>
      <c r="E2984" s="228" t="s">
        <v>832</v>
      </c>
      <c r="F2984" s="228"/>
    </row>
    <row r="2985" customHeight="1" spans="1:6">
      <c r="A2985" s="146" t="s">
        <v>911</v>
      </c>
      <c r="B2985" s="233"/>
      <c r="C2985" s="233"/>
      <c r="D2985" s="233"/>
      <c r="E2985" s="233"/>
      <c r="F2985" s="147"/>
    </row>
    <row r="2986" customHeight="1" spans="1:6">
      <c r="A2986" s="7" t="s">
        <v>104</v>
      </c>
      <c r="B2986" s="7" t="s">
        <v>835</v>
      </c>
      <c r="C2986" s="7" t="s">
        <v>159</v>
      </c>
      <c r="D2986" s="7" t="s">
        <v>422</v>
      </c>
      <c r="E2986" s="7" t="s">
        <v>160</v>
      </c>
      <c r="F2986" s="7" t="s">
        <v>18</v>
      </c>
    </row>
    <row r="2987" customHeight="1" spans="1:6">
      <c r="A2987" s="7" t="s">
        <v>836</v>
      </c>
      <c r="B2987" s="7" t="s">
        <v>839</v>
      </c>
      <c r="C2987" s="7" t="s">
        <v>840</v>
      </c>
      <c r="D2987" s="297"/>
      <c r="E2987" s="42">
        <f>SUM(E2988:E2989)</f>
        <v>2246.3</v>
      </c>
      <c r="F2987" s="69">
        <f>SUM(F2988:F2989)</f>
        <v>16572.418</v>
      </c>
    </row>
    <row r="2988" s="217" customFormat="1" customHeight="1" spans="1:6">
      <c r="A2988" s="7"/>
      <c r="B2988" s="7" t="s">
        <v>841</v>
      </c>
      <c r="C2988" s="7" t="s">
        <v>840</v>
      </c>
      <c r="D2988" s="69">
        <f>D2950</f>
        <v>8.1</v>
      </c>
      <c r="E2988" s="42">
        <v>1549.9</v>
      </c>
      <c r="F2988" s="69">
        <f t="shared" ref="F2988:F2994" si="216">D2988*E2988</f>
        <v>12554.19</v>
      </c>
    </row>
    <row r="2989" s="217" customFormat="1" customHeight="1" spans="1:6">
      <c r="A2989" s="7"/>
      <c r="B2989" s="7" t="s">
        <v>842</v>
      </c>
      <c r="C2989" s="7" t="s">
        <v>840</v>
      </c>
      <c r="D2989" s="69">
        <f>D2951</f>
        <v>5.77</v>
      </c>
      <c r="E2989" s="42">
        <v>696.4</v>
      </c>
      <c r="F2989" s="69">
        <f t="shared" si="216"/>
        <v>4018.228</v>
      </c>
    </row>
    <row r="2990" customHeight="1" spans="1:6">
      <c r="A2990" s="7" t="s">
        <v>1110</v>
      </c>
      <c r="B2990" s="7" t="s">
        <v>912</v>
      </c>
      <c r="C2990" s="7"/>
      <c r="D2990" s="34"/>
      <c r="E2990" s="34"/>
      <c r="F2990" s="34">
        <f>SUM(F2991:F2995)</f>
        <v>25388.89172436</v>
      </c>
    </row>
    <row r="2991" customHeight="1" spans="1:6">
      <c r="A2991" s="7"/>
      <c r="B2991" s="273" t="s">
        <v>996</v>
      </c>
      <c r="C2991" s="273" t="s">
        <v>169</v>
      </c>
      <c r="D2991" s="34">
        <f>D2953</f>
        <v>2238.008025</v>
      </c>
      <c r="E2991" s="34">
        <v>2.76</v>
      </c>
      <c r="F2991" s="274">
        <f t="shared" si="216"/>
        <v>6176.902149</v>
      </c>
    </row>
    <row r="2992" customHeight="1" spans="1:6">
      <c r="A2992" s="7"/>
      <c r="B2992" s="273" t="s">
        <v>1116</v>
      </c>
      <c r="C2992" s="273" t="s">
        <v>863</v>
      </c>
      <c r="D2992" s="34">
        <f>基础材料表!D31</f>
        <v>7.99</v>
      </c>
      <c r="E2992" s="298">
        <v>10</v>
      </c>
      <c r="F2992" s="274">
        <f t="shared" si="216"/>
        <v>79.9</v>
      </c>
    </row>
    <row r="2993" customHeight="1" spans="1:6">
      <c r="A2993" s="7"/>
      <c r="B2993" s="7" t="s">
        <v>1003</v>
      </c>
      <c r="C2993" s="7" t="s">
        <v>169</v>
      </c>
      <c r="D2993" s="34">
        <f>配合比!M8</f>
        <v>176.3536095</v>
      </c>
      <c r="E2993" s="298">
        <v>102</v>
      </c>
      <c r="F2993" s="274">
        <f t="shared" si="216"/>
        <v>17988.068169</v>
      </c>
    </row>
    <row r="2994" customHeight="1" spans="1:6">
      <c r="A2994" s="7"/>
      <c r="B2994" s="7" t="s">
        <v>913</v>
      </c>
      <c r="C2994" s="7" t="s">
        <v>169</v>
      </c>
      <c r="D2994" s="69">
        <f>材料预算价!K13</f>
        <v>3.59</v>
      </c>
      <c r="E2994" s="34">
        <v>180</v>
      </c>
      <c r="F2994" s="274">
        <f t="shared" si="216"/>
        <v>646.2</v>
      </c>
    </row>
    <row r="2995" customHeight="1" spans="1:6">
      <c r="A2995" s="7"/>
      <c r="B2995" s="7" t="s">
        <v>1004</v>
      </c>
      <c r="C2995" s="9" t="s">
        <v>845</v>
      </c>
      <c r="D2995" s="254">
        <f>SUM(F2991:F2994)</f>
        <v>24891.070318</v>
      </c>
      <c r="E2995" s="34">
        <v>2</v>
      </c>
      <c r="F2995" s="274">
        <f>D2995*E2995/100</f>
        <v>497.82140636</v>
      </c>
    </row>
    <row r="2996" customHeight="1" spans="1:6">
      <c r="A2996" s="7" t="s">
        <v>1111</v>
      </c>
      <c r="B2996" s="7" t="s">
        <v>859</v>
      </c>
      <c r="C2996" s="7"/>
      <c r="D2996" s="34"/>
      <c r="E2996" s="34"/>
      <c r="F2996" s="254">
        <f>SUM(F2997:F3001)</f>
        <v>2634.21793443119</v>
      </c>
    </row>
    <row r="2997" customHeight="1" spans="1:6">
      <c r="A2997" s="7"/>
      <c r="B2997" s="7" t="s">
        <v>1005</v>
      </c>
      <c r="C2997" s="7" t="s">
        <v>428</v>
      </c>
      <c r="D2997" s="34">
        <f>台时!H42</f>
        <v>49.389824491424</v>
      </c>
      <c r="E2997" s="34">
        <v>1.5</v>
      </c>
      <c r="F2997" s="34">
        <f>D2997*E2997</f>
        <v>74.084736737136</v>
      </c>
    </row>
    <row r="2998" customHeight="1" spans="1:6">
      <c r="A2998" s="7"/>
      <c r="B2998" s="7" t="s">
        <v>1117</v>
      </c>
      <c r="C2998" s="7" t="s">
        <v>428</v>
      </c>
      <c r="D2998" s="34">
        <f>台时!D42</f>
        <v>23.9179521340247</v>
      </c>
      <c r="E2998" s="34">
        <v>18.36</v>
      </c>
      <c r="F2998" s="34">
        <f>D2998*E2998</f>
        <v>439.133601180694</v>
      </c>
    </row>
    <row r="2999" customHeight="1" spans="1:6">
      <c r="A2999" s="7"/>
      <c r="B2999" s="7" t="s">
        <v>1009</v>
      </c>
      <c r="C2999" s="7" t="s">
        <v>428</v>
      </c>
      <c r="D2999" s="34">
        <f>台时!F42</f>
        <v>1.82152692461109</v>
      </c>
      <c r="E2999" s="34">
        <v>44</v>
      </c>
      <c r="F2999" s="34">
        <f>D2999*E2999</f>
        <v>80.1471846828879</v>
      </c>
    </row>
    <row r="3000" customHeight="1" spans="1:6">
      <c r="A3000" s="7"/>
      <c r="B3000" s="7" t="s">
        <v>1118</v>
      </c>
      <c r="C3000" s="7" t="s">
        <v>428</v>
      </c>
      <c r="D3000" s="34">
        <f>台时!F63</f>
        <v>95.890325887515</v>
      </c>
      <c r="E3000" s="34">
        <v>17.7</v>
      </c>
      <c r="F3000" s="34">
        <f>D3000*E3000</f>
        <v>1697.25876820901</v>
      </c>
    </row>
    <row r="3001" customHeight="1" spans="1:6">
      <c r="A3001" s="7"/>
      <c r="B3001" s="7" t="s">
        <v>918</v>
      </c>
      <c r="C3001" s="9" t="s">
        <v>845</v>
      </c>
      <c r="D3001" s="254">
        <f>SUM(F2997:F3000)</f>
        <v>2290.62429080973</v>
      </c>
      <c r="E3001" s="34">
        <v>15</v>
      </c>
      <c r="F3001" s="34">
        <f>D3001*E3001/100</f>
        <v>343.59364362146</v>
      </c>
    </row>
    <row r="3002" s="219" customFormat="1" customHeight="1" spans="1:6">
      <c r="A3002" s="5" t="s">
        <v>121</v>
      </c>
      <c r="B3002" s="5" t="s">
        <v>1010</v>
      </c>
      <c r="C3002" s="275"/>
      <c r="D3002" s="276"/>
      <c r="E3002" s="276"/>
      <c r="F3002" s="276">
        <f>SUM(F3003:F3004)</f>
        <v>1972.31972351059</v>
      </c>
    </row>
    <row r="3003" s="216" customFormat="1" customHeight="1" spans="1:6">
      <c r="A3003" s="7"/>
      <c r="B3003" s="123" t="s">
        <v>681</v>
      </c>
      <c r="C3003" s="123" t="s">
        <v>169</v>
      </c>
      <c r="D3003" s="274">
        <f>$F$2795/100</f>
        <v>5.03319379720782</v>
      </c>
      <c r="E3003" s="274">
        <v>102</v>
      </c>
      <c r="F3003" s="34">
        <f>D3003*E3003</f>
        <v>513.385767315197</v>
      </c>
    </row>
    <row r="3004" s="216" customFormat="1" customHeight="1" spans="1:6">
      <c r="A3004" s="7"/>
      <c r="B3004" s="123" t="s">
        <v>682</v>
      </c>
      <c r="C3004" s="123" t="s">
        <v>169</v>
      </c>
      <c r="D3004" s="274">
        <f>$F$2813/100</f>
        <v>14.303274080347</v>
      </c>
      <c r="E3004" s="274">
        <v>102</v>
      </c>
      <c r="F3004" s="34">
        <f>D3004*E3004</f>
        <v>1458.9339561954</v>
      </c>
    </row>
    <row r="3005" customHeight="1" spans="1:6">
      <c r="A3005" s="7"/>
      <c r="B3005" s="7" t="s">
        <v>1119</v>
      </c>
      <c r="C3005" s="7"/>
      <c r="D3005" s="34"/>
      <c r="E3005" s="34"/>
      <c r="F3005" s="34">
        <f>F2987+F2990+F2996+F3002</f>
        <v>46567.8473823018</v>
      </c>
    </row>
    <row r="3006" customHeight="1" spans="1:6">
      <c r="A3006" s="7"/>
      <c r="B3006" s="7"/>
      <c r="C3006" s="7"/>
      <c r="D3006" s="34"/>
      <c r="E3006" s="34"/>
      <c r="F3006" s="34"/>
    </row>
    <row r="3007" customHeight="1" spans="1:6">
      <c r="A3007" s="7"/>
      <c r="B3007" s="7"/>
      <c r="C3007" s="7"/>
      <c r="D3007" s="34"/>
      <c r="E3007" s="34"/>
      <c r="F3007" s="34"/>
    </row>
    <row r="3008" customHeight="1" spans="1:6">
      <c r="A3008" s="7"/>
      <c r="B3008" s="7"/>
      <c r="C3008" s="7"/>
      <c r="D3008" s="34"/>
      <c r="E3008" s="34"/>
      <c r="F3008" s="34"/>
    </row>
    <row r="3009" customHeight="1" spans="1:6">
      <c r="A3009" s="7"/>
      <c r="B3009" s="7"/>
      <c r="C3009" s="7"/>
      <c r="D3009" s="34"/>
      <c r="E3009" s="34"/>
      <c r="F3009" s="34"/>
    </row>
    <row r="3010" customHeight="1" spans="1:6">
      <c r="A3010" s="7"/>
      <c r="B3010" s="7"/>
      <c r="C3010" s="7"/>
      <c r="D3010" s="34"/>
      <c r="E3010" s="34"/>
      <c r="F3010" s="34"/>
    </row>
    <row r="3011" customHeight="1" spans="1:6">
      <c r="A3011" s="7"/>
      <c r="B3011" s="7"/>
      <c r="C3011" s="7"/>
      <c r="D3011" s="34"/>
      <c r="E3011" s="34"/>
      <c r="F3011" s="34"/>
    </row>
    <row r="3012" customHeight="1" spans="1:6">
      <c r="A3012" s="7"/>
      <c r="B3012" s="7"/>
      <c r="C3012" s="7"/>
      <c r="D3012" s="34"/>
      <c r="E3012" s="34"/>
      <c r="F3012" s="34"/>
    </row>
    <row r="3013" customHeight="1" spans="1:6">
      <c r="A3013" s="7"/>
      <c r="B3013" s="7"/>
      <c r="C3013" s="7"/>
      <c r="D3013" s="34"/>
      <c r="E3013" s="34"/>
      <c r="F3013" s="34"/>
    </row>
    <row r="3014" customHeight="1" spans="1:6">
      <c r="A3014" s="7"/>
      <c r="B3014" s="7"/>
      <c r="C3014" s="7"/>
      <c r="D3014" s="34"/>
      <c r="E3014" s="34"/>
      <c r="F3014" s="34"/>
    </row>
    <row r="3015" customHeight="1" spans="1:6">
      <c r="A3015" s="7"/>
      <c r="B3015" s="7"/>
      <c r="C3015" s="7"/>
      <c r="D3015" s="34"/>
      <c r="E3015" s="34"/>
      <c r="F3015" s="34"/>
    </row>
    <row r="3016" customHeight="1" spans="1:6">
      <c r="A3016" s="7"/>
      <c r="B3016" s="7"/>
      <c r="C3016" s="7"/>
      <c r="D3016" s="34"/>
      <c r="E3016" s="34"/>
      <c r="F3016" s="34"/>
    </row>
    <row r="3017" customHeight="1" spans="1:6">
      <c r="A3017" s="7"/>
      <c r="B3017" s="7"/>
      <c r="C3017" s="7"/>
      <c r="D3017" s="34"/>
      <c r="E3017" s="34"/>
      <c r="F3017" s="34"/>
    </row>
    <row r="3018" customHeight="1" spans="1:6">
      <c r="A3018" s="7"/>
      <c r="B3018" s="7"/>
      <c r="C3018" s="7"/>
      <c r="D3018" s="34"/>
      <c r="E3018" s="34"/>
      <c r="F3018" s="34"/>
    </row>
    <row r="3019" customHeight="1" spans="1:6">
      <c r="A3019" s="7"/>
      <c r="B3019" s="7"/>
      <c r="C3019" s="7"/>
      <c r="D3019" s="34"/>
      <c r="E3019" s="34"/>
      <c r="F3019" s="34"/>
    </row>
    <row r="3020" ht="17.1" customHeight="1" spans="1:6">
      <c r="A3020" s="224" t="s">
        <v>828</v>
      </c>
      <c r="B3020" s="225"/>
      <c r="C3020" s="225"/>
      <c r="D3020" s="225"/>
      <c r="E3020" s="225"/>
      <c r="F3020" s="225"/>
    </row>
    <row r="3021" ht="17.1" customHeight="1" spans="1:6">
      <c r="A3021" s="296" t="s">
        <v>1129</v>
      </c>
      <c r="B3021" s="296"/>
      <c r="C3021" s="296"/>
      <c r="D3021" s="296"/>
      <c r="E3021" s="296"/>
      <c r="F3021" s="296"/>
    </row>
    <row r="3022" ht="17.1" customHeight="1" spans="1:6">
      <c r="A3022" s="227" t="s">
        <v>1121</v>
      </c>
      <c r="B3022" s="228"/>
      <c r="C3022" s="272"/>
      <c r="D3022" s="272"/>
      <c r="E3022" s="228" t="s">
        <v>832</v>
      </c>
      <c r="F3022" s="228"/>
    </row>
    <row r="3023" ht="17.1" customHeight="1" spans="1:6">
      <c r="A3023" s="146" t="s">
        <v>911</v>
      </c>
      <c r="B3023" s="233"/>
      <c r="C3023" s="233"/>
      <c r="D3023" s="233"/>
      <c r="E3023" s="233"/>
      <c r="F3023" s="147"/>
    </row>
    <row r="3024" ht="17.1" customHeight="1" spans="1:6">
      <c r="A3024" s="7" t="s">
        <v>104</v>
      </c>
      <c r="B3024" s="7" t="s">
        <v>835</v>
      </c>
      <c r="C3024" s="7" t="s">
        <v>159</v>
      </c>
      <c r="D3024" s="7" t="s">
        <v>422</v>
      </c>
      <c r="E3024" s="7" t="s">
        <v>160</v>
      </c>
      <c r="F3024" s="7" t="s">
        <v>18</v>
      </c>
    </row>
    <row r="3025" ht="17.1" customHeight="1" spans="1:6">
      <c r="A3025" s="7" t="s">
        <v>836</v>
      </c>
      <c r="B3025" s="7" t="s">
        <v>837</v>
      </c>
      <c r="C3025" s="7"/>
      <c r="D3025" s="7"/>
      <c r="E3025" s="7"/>
      <c r="F3025" s="34">
        <f>F3026+F3044+F3045</f>
        <v>61202.2663623086</v>
      </c>
    </row>
    <row r="3026" ht="17.1" customHeight="1" spans="1:6">
      <c r="A3026" s="7" t="s">
        <v>539</v>
      </c>
      <c r="B3026" s="7" t="s">
        <v>838</v>
      </c>
      <c r="C3026" s="7"/>
      <c r="D3026" s="7"/>
      <c r="E3026" s="7"/>
      <c r="F3026" s="34">
        <f>F3027+F3030+F3037+F3042</f>
        <v>58399.1091243402</v>
      </c>
    </row>
    <row r="3027" ht="17.1" customHeight="1" spans="1:6">
      <c r="A3027" s="7">
        <v>1</v>
      </c>
      <c r="B3027" s="7" t="s">
        <v>839</v>
      </c>
      <c r="C3027" s="7" t="s">
        <v>840</v>
      </c>
      <c r="D3027" s="34"/>
      <c r="E3027" s="42">
        <f>SUM(E3028:E3029)</f>
        <v>574.6</v>
      </c>
      <c r="F3027" s="69">
        <f>SUM(F3028:F3029)</f>
        <v>4654.26</v>
      </c>
    </row>
    <row r="3028" s="217" customFormat="1" ht="17.1" customHeight="1" spans="1:6">
      <c r="A3028" s="7"/>
      <c r="B3028" s="7" t="s">
        <v>841</v>
      </c>
      <c r="C3028" s="7" t="s">
        <v>840</v>
      </c>
      <c r="D3028" s="69">
        <f>D2988</f>
        <v>8.1</v>
      </c>
      <c r="E3028" s="42">
        <v>574.6</v>
      </c>
      <c r="F3028" s="69">
        <f t="shared" ref="F3028:F3035" si="217">D3028*E3028</f>
        <v>4654.26</v>
      </c>
    </row>
    <row r="3029" s="217" customFormat="1" ht="17.1" customHeight="1" spans="1:6">
      <c r="A3029" s="7"/>
      <c r="B3029" s="7" t="s">
        <v>842</v>
      </c>
      <c r="C3029" s="7" t="s">
        <v>840</v>
      </c>
      <c r="D3029" s="69">
        <f>D2989</f>
        <v>5.77</v>
      </c>
      <c r="E3029" s="42">
        <v>0</v>
      </c>
      <c r="F3029" s="69">
        <f t="shared" si="217"/>
        <v>0</v>
      </c>
    </row>
    <row r="3030" ht="17.1" customHeight="1" spans="1:6">
      <c r="A3030" s="7">
        <v>2</v>
      </c>
      <c r="B3030" s="7" t="s">
        <v>912</v>
      </c>
      <c r="C3030" s="7"/>
      <c r="D3030" s="34"/>
      <c r="E3030" s="34"/>
      <c r="F3030" s="254">
        <f>SUM(F3031:F3036)</f>
        <v>51276.6937860858</v>
      </c>
    </row>
    <row r="3031" ht="17.1" customHeight="1" spans="1:6">
      <c r="A3031" s="7"/>
      <c r="B3031" s="273" t="s">
        <v>996</v>
      </c>
      <c r="C3031" s="273" t="s">
        <v>169</v>
      </c>
      <c r="D3031" s="34">
        <f>D2991</f>
        <v>2238.008025</v>
      </c>
      <c r="E3031" s="34">
        <v>0.19</v>
      </c>
      <c r="F3031" s="34">
        <f t="shared" si="217"/>
        <v>425.22152475</v>
      </c>
    </row>
    <row r="3032" ht="17.1" customHeight="1" spans="1:6">
      <c r="A3032" s="7"/>
      <c r="B3032" s="273" t="s">
        <v>1122</v>
      </c>
      <c r="C3032" s="273" t="s">
        <v>169</v>
      </c>
      <c r="D3032" s="34">
        <f>D3031</f>
        <v>2238.008025</v>
      </c>
      <c r="E3032" s="34">
        <v>0.62</v>
      </c>
      <c r="F3032" s="34">
        <f t="shared" si="217"/>
        <v>1387.5649755</v>
      </c>
    </row>
    <row r="3033" ht="17.1" customHeight="1" spans="1:6">
      <c r="A3033" s="7"/>
      <c r="B3033" s="7" t="s">
        <v>977</v>
      </c>
      <c r="C3033" s="273" t="s">
        <v>169</v>
      </c>
      <c r="D3033" s="69">
        <f>配合比!M15</f>
        <v>144.54347</v>
      </c>
      <c r="E3033" s="34">
        <v>1.8</v>
      </c>
      <c r="F3033" s="34">
        <f t="shared" si="217"/>
        <v>260.178246</v>
      </c>
    </row>
    <row r="3034" ht="17.1" customHeight="1" spans="1:6">
      <c r="A3034" s="7"/>
      <c r="B3034" s="7" t="s">
        <v>1123</v>
      </c>
      <c r="C3034" s="273" t="s">
        <v>169</v>
      </c>
      <c r="D3034" s="34">
        <f>F3005/100</f>
        <v>465.678473823018</v>
      </c>
      <c r="E3034" s="34">
        <v>100</v>
      </c>
      <c r="F3034" s="34">
        <f t="shared" si="217"/>
        <v>46567.8473823018</v>
      </c>
    </row>
    <row r="3035" ht="17.1" customHeight="1" spans="1:6">
      <c r="A3035" s="7"/>
      <c r="B3035" s="7" t="s">
        <v>1003</v>
      </c>
      <c r="C3035" s="273" t="s">
        <v>169</v>
      </c>
      <c r="D3035" s="34">
        <f>配合比!M8</f>
        <v>176.3536095</v>
      </c>
      <c r="E3035" s="34">
        <v>13.5</v>
      </c>
      <c r="F3035" s="34">
        <f t="shared" si="217"/>
        <v>2380.77372825</v>
      </c>
    </row>
    <row r="3036" ht="17.1" customHeight="1" spans="1:6">
      <c r="A3036" s="7"/>
      <c r="B3036" s="7" t="s">
        <v>1004</v>
      </c>
      <c r="C3036" s="300" t="s">
        <v>845</v>
      </c>
      <c r="D3036" s="254">
        <f>SUM(F3031:F3035)</f>
        <v>51021.5858568018</v>
      </c>
      <c r="E3036" s="34">
        <v>0.5</v>
      </c>
      <c r="F3036" s="34">
        <f>D3036*E3036/100</f>
        <v>255.107929284009</v>
      </c>
    </row>
    <row r="3037" ht="17.1" customHeight="1" spans="1:6">
      <c r="A3037" s="7">
        <v>3</v>
      </c>
      <c r="B3037" s="7" t="s">
        <v>859</v>
      </c>
      <c r="C3037" s="7"/>
      <c r="D3037" s="34"/>
      <c r="E3037" s="34"/>
      <c r="F3037" s="254">
        <f>SUM(F3038:F3041)</f>
        <v>2400.20722199213</v>
      </c>
    </row>
    <row r="3038" ht="17.1" customHeight="1" spans="1:6">
      <c r="A3038" s="7"/>
      <c r="B3038" s="7" t="s">
        <v>1124</v>
      </c>
      <c r="C3038" s="7" t="s">
        <v>428</v>
      </c>
      <c r="D3038" s="34">
        <f>台时!F84</f>
        <v>62.3342780215397</v>
      </c>
      <c r="E3038" s="34">
        <v>37</v>
      </c>
      <c r="F3038" s="34">
        <f>D3038*E3038</f>
        <v>2306.36828679697</v>
      </c>
    </row>
    <row r="3039" ht="17.1" customHeight="1" spans="1:6">
      <c r="A3039" s="7"/>
      <c r="B3039" s="7" t="s">
        <v>1117</v>
      </c>
      <c r="C3039" s="7" t="s">
        <v>428</v>
      </c>
      <c r="D3039" s="34">
        <f>台时!D42</f>
        <v>23.9179521340247</v>
      </c>
      <c r="E3039" s="34">
        <v>2.5029</v>
      </c>
      <c r="F3039" s="34">
        <f>D3039*E3039</f>
        <v>59.8642423962505</v>
      </c>
    </row>
    <row r="3040" ht="17.1" customHeight="1" spans="1:6">
      <c r="A3040" s="7"/>
      <c r="B3040" s="7" t="s">
        <v>967</v>
      </c>
      <c r="C3040" s="7" t="s">
        <v>428</v>
      </c>
      <c r="D3040" s="69">
        <f>台时!C42</f>
        <v>0.813242919824491</v>
      </c>
      <c r="E3040" s="251">
        <v>12.555</v>
      </c>
      <c r="F3040" s="34">
        <f>D3040*E3040</f>
        <v>10.2102648583965</v>
      </c>
    </row>
    <row r="3041" ht="17.1" customHeight="1" spans="1:6">
      <c r="A3041" s="7"/>
      <c r="B3041" s="7" t="s">
        <v>918</v>
      </c>
      <c r="C3041" s="9" t="s">
        <v>845</v>
      </c>
      <c r="D3041" s="254">
        <f>SUM(F3038:F3040)</f>
        <v>2376.44279405162</v>
      </c>
      <c r="E3041" s="34">
        <v>1</v>
      </c>
      <c r="F3041" s="34">
        <f>D3041*E3041/100</f>
        <v>23.7644279405162</v>
      </c>
    </row>
    <row r="3042" ht="17.1" customHeight="1" spans="1:6">
      <c r="A3042" s="7">
        <v>4</v>
      </c>
      <c r="B3042" s="7" t="s">
        <v>1010</v>
      </c>
      <c r="C3042" s="275"/>
      <c r="D3042" s="254"/>
      <c r="E3042" s="34"/>
      <c r="F3042" s="34">
        <f>F3043</f>
        <v>67.9481162623055</v>
      </c>
    </row>
    <row r="3043" ht="17.1" customHeight="1" spans="1:6">
      <c r="A3043" s="7"/>
      <c r="B3043" s="123" t="s">
        <v>681</v>
      </c>
      <c r="C3043" s="123" t="s">
        <v>169</v>
      </c>
      <c r="D3043" s="254">
        <f>D3003</f>
        <v>5.03319379720782</v>
      </c>
      <c r="E3043" s="34">
        <v>13.5</v>
      </c>
      <c r="F3043" s="34">
        <f>D3043*E3043</f>
        <v>67.9481162623055</v>
      </c>
    </row>
    <row r="3044" ht="17.1" customHeight="1" spans="1:6">
      <c r="A3044" s="7" t="s">
        <v>564</v>
      </c>
      <c r="B3044" s="7" t="s">
        <v>846</v>
      </c>
      <c r="C3044" s="230">
        <f>取费表!$C$7</f>
        <v>0.048</v>
      </c>
      <c r="D3044" s="254"/>
      <c r="E3044" s="34">
        <f>F3026</f>
        <v>58399.1091243402</v>
      </c>
      <c r="F3044" s="34">
        <f>E3044*C3044</f>
        <v>2803.15723796833</v>
      </c>
    </row>
    <row r="3045" ht="17.1" customHeight="1" spans="1:6">
      <c r="A3045" s="7"/>
      <c r="B3045" s="7"/>
      <c r="C3045" s="230"/>
      <c r="D3045" s="254"/>
      <c r="E3045" s="34"/>
      <c r="F3045" s="34"/>
    </row>
    <row r="3046" ht="17.1" customHeight="1" spans="1:6">
      <c r="A3046" s="7" t="s">
        <v>439</v>
      </c>
      <c r="B3046" s="7" t="s">
        <v>847</v>
      </c>
      <c r="C3046" s="230">
        <f>取费表!$E$7</f>
        <v>0.07</v>
      </c>
      <c r="D3046" s="254"/>
      <c r="E3046" s="34">
        <f>F3025</f>
        <v>61202.2663623086</v>
      </c>
      <c r="F3046" s="34">
        <f>E3046*C3046</f>
        <v>4284.1586453616</v>
      </c>
    </row>
    <row r="3047" ht="17.1" customHeight="1" spans="1:6">
      <c r="A3047" s="7" t="s">
        <v>83</v>
      </c>
      <c r="B3047" s="7" t="s">
        <v>848</v>
      </c>
      <c r="C3047" s="230">
        <f>取费表!$F$7</f>
        <v>0.07</v>
      </c>
      <c r="D3047" s="254"/>
      <c r="E3047" s="34">
        <f>F3046+F3025</f>
        <v>65486.4250076702</v>
      </c>
      <c r="F3047" s="34">
        <f>E3047*C3047</f>
        <v>4584.04975053691</v>
      </c>
    </row>
    <row r="3048" s="220" customFormat="1" ht="17.1" customHeight="1" spans="1:6">
      <c r="A3048" s="5" t="s">
        <v>121</v>
      </c>
      <c r="B3048" s="5" t="s">
        <v>861</v>
      </c>
      <c r="C3048" s="275"/>
      <c r="D3048" s="276"/>
      <c r="E3048" s="5"/>
      <c r="F3048" s="277">
        <f>F3049+F3054</f>
        <v>11373.1718347871</v>
      </c>
    </row>
    <row r="3049" ht="17.1" customHeight="1" spans="1:6">
      <c r="A3049" s="7">
        <v>1</v>
      </c>
      <c r="B3049" s="7" t="s">
        <v>1011</v>
      </c>
      <c r="C3049" s="9"/>
      <c r="D3049" s="34"/>
      <c r="E3049" s="7"/>
      <c r="F3049" s="69">
        <f>SUM(F3050:F3053)</f>
        <v>10037.6768347871</v>
      </c>
    </row>
    <row r="3050" ht="17.1" customHeight="1" spans="1:6">
      <c r="A3050" s="7"/>
      <c r="B3050" s="7"/>
      <c r="C3050" s="7"/>
      <c r="D3050" s="34"/>
      <c r="E3050" s="34"/>
      <c r="F3050" s="69"/>
    </row>
    <row r="3051" ht="17.1" customHeight="1" spans="1:6">
      <c r="A3051" s="7"/>
      <c r="B3051" s="7" t="s">
        <v>979</v>
      </c>
      <c r="C3051" s="7" t="s">
        <v>200</v>
      </c>
      <c r="D3051" s="34">
        <f>材料预算价!K5-材料预算价!L5</f>
        <v>141.58936</v>
      </c>
      <c r="E3051" s="34">
        <f>E3035*配合比!E8+新定额单价!E3034*0.01*新定额单价!E2993*配合比!E8</f>
        <v>35.4812535</v>
      </c>
      <c r="F3051" s="69">
        <f>D3051*E3051</f>
        <v>5023.76797506276</v>
      </c>
    </row>
    <row r="3052" ht="17.1" customHeight="1" spans="1:6">
      <c r="A3052" s="7"/>
      <c r="B3052" s="7" t="s">
        <v>961</v>
      </c>
      <c r="C3052" s="7" t="s">
        <v>169</v>
      </c>
      <c r="D3052" s="34">
        <f>D2974</f>
        <v>34.366056</v>
      </c>
      <c r="E3052" s="34">
        <f>E3035*配合比!G8+新定额单价!E3034*0.01*新定额单价!E2993*配合比!G8</f>
        <v>63.49959</v>
      </c>
      <c r="F3052" s="69">
        <f>D3052*E3052</f>
        <v>2182.23046591704</v>
      </c>
    </row>
    <row r="3053" ht="17.1" customHeight="1" spans="1:6">
      <c r="A3053" s="7"/>
      <c r="B3053" s="7" t="s">
        <v>1012</v>
      </c>
      <c r="C3053" s="7" t="s">
        <v>169</v>
      </c>
      <c r="D3053" s="34">
        <f>材料预算价!K8-材料预算价!L8</f>
        <v>29.13701</v>
      </c>
      <c r="E3053" s="34">
        <f>E3035*配合比!I8+新定额单价!E3034*0.01*配合比!I8*E2993</f>
        <v>97.184934</v>
      </c>
      <c r="F3053" s="69">
        <f>D3053*E3053</f>
        <v>2831.67839380734</v>
      </c>
    </row>
    <row r="3054" ht="17.1" customHeight="1" spans="1:6">
      <c r="A3054" s="7">
        <v>2</v>
      </c>
      <c r="B3054" s="7" t="s">
        <v>1013</v>
      </c>
      <c r="C3054" s="7"/>
      <c r="D3054" s="34"/>
      <c r="E3054" s="38"/>
      <c r="F3054" s="69">
        <f>SUM(F3055:F3056)</f>
        <v>1335.495</v>
      </c>
    </row>
    <row r="3055" ht="17.1" customHeight="1" spans="1:6">
      <c r="A3055" s="7"/>
      <c r="B3055" s="7" t="s">
        <v>1014</v>
      </c>
      <c r="C3055" s="7" t="s">
        <v>863</v>
      </c>
      <c r="D3055" s="34">
        <f>D2977</f>
        <v>5.925</v>
      </c>
      <c r="E3055" s="38">
        <f>(E2997*7.2+E3038*5.8)</f>
        <v>225.4</v>
      </c>
      <c r="F3055" s="69">
        <f>D3055*E3055</f>
        <v>1335.495</v>
      </c>
    </row>
    <row r="3056" ht="17.1" customHeight="1" spans="1:6">
      <c r="A3056" s="7"/>
      <c r="B3056" s="7" t="s">
        <v>862</v>
      </c>
      <c r="C3056" s="9" t="s">
        <v>863</v>
      </c>
      <c r="D3056" s="34">
        <f>D2978</f>
        <v>4.58</v>
      </c>
      <c r="E3056" s="38">
        <v>0</v>
      </c>
      <c r="F3056" s="69">
        <f>D3056*E3056</f>
        <v>0</v>
      </c>
    </row>
    <row r="3057" ht="17.1" customHeight="1" spans="1:6">
      <c r="A3057" s="7" t="s">
        <v>135</v>
      </c>
      <c r="B3057" s="7" t="s">
        <v>849</v>
      </c>
      <c r="C3057" s="231">
        <f>C2979</f>
        <v>0.09</v>
      </c>
      <c r="D3057" s="34"/>
      <c r="E3057" s="34">
        <f>F3048+F3047+F3046+F3025</f>
        <v>81443.6465929942</v>
      </c>
      <c r="F3057" s="34">
        <f>E3057*C3057</f>
        <v>7329.92819336948</v>
      </c>
    </row>
    <row r="3058" ht="17.1" customHeight="1" spans="1:6">
      <c r="A3058" s="7"/>
      <c r="B3058" s="7" t="s">
        <v>850</v>
      </c>
      <c r="C3058" s="231"/>
      <c r="D3058" s="34"/>
      <c r="E3058" s="34"/>
      <c r="F3058" s="34">
        <f>(F3025+F3046+F3047+F3048+F3057)*取费表!H4</f>
        <v>2663.20724359091</v>
      </c>
    </row>
    <row r="3059" ht="17.1" customHeight="1" spans="1:6">
      <c r="A3059" s="7"/>
      <c r="B3059" s="7" t="s">
        <v>156</v>
      </c>
      <c r="C3059" s="7"/>
      <c r="D3059" s="34"/>
      <c r="E3059" s="34"/>
      <c r="F3059" s="34">
        <f>F3057+E3057+F3058</f>
        <v>91436.7820299546</v>
      </c>
    </row>
    <row r="3060" ht="17.1" customHeight="1" spans="1:6">
      <c r="A3060" s="224" t="s">
        <v>828</v>
      </c>
      <c r="B3060" s="225"/>
      <c r="C3060" s="225"/>
      <c r="D3060" s="225"/>
      <c r="E3060" s="225"/>
      <c r="F3060" s="225"/>
    </row>
    <row r="3061" ht="17.1" customHeight="1" spans="1:6">
      <c r="A3061" s="296" t="s">
        <v>1130</v>
      </c>
      <c r="B3061" s="296"/>
      <c r="C3061" s="296"/>
      <c r="D3061" s="296"/>
      <c r="E3061" s="296"/>
      <c r="F3061" s="296"/>
    </row>
    <row r="3062" ht="17.1" customHeight="1" spans="1:6">
      <c r="A3062" s="227" t="s">
        <v>1131</v>
      </c>
      <c r="B3062" s="228"/>
      <c r="C3062" s="272"/>
      <c r="D3062" s="272"/>
      <c r="E3062" s="228" t="s">
        <v>832</v>
      </c>
      <c r="F3062" s="228"/>
    </row>
    <row r="3063" ht="17.1" customHeight="1" spans="1:6">
      <c r="A3063" s="146" t="s">
        <v>911</v>
      </c>
      <c r="B3063" s="233"/>
      <c r="C3063" s="233"/>
      <c r="D3063" s="233"/>
      <c r="E3063" s="233"/>
      <c r="F3063" s="147"/>
    </row>
    <row r="3064" ht="17.1" customHeight="1" spans="1:6">
      <c r="A3064" s="7" t="s">
        <v>104</v>
      </c>
      <c r="B3064" s="7" t="s">
        <v>835</v>
      </c>
      <c r="C3064" s="7" t="s">
        <v>159</v>
      </c>
      <c r="D3064" s="7" t="s">
        <v>422</v>
      </c>
      <c r="E3064" s="7" t="s">
        <v>160</v>
      </c>
      <c r="F3064" s="7" t="s">
        <v>18</v>
      </c>
    </row>
    <row r="3065" ht="17.1" customHeight="1" spans="1:6">
      <c r="A3065" s="7" t="s">
        <v>836</v>
      </c>
      <c r="B3065" s="7" t="s">
        <v>839</v>
      </c>
      <c r="C3065" s="7" t="s">
        <v>840</v>
      </c>
      <c r="D3065" s="297"/>
      <c r="E3065" s="42">
        <f>SUM(E3066:E3067)</f>
        <v>2857.4</v>
      </c>
      <c r="F3065" s="69">
        <f>SUM(F3066:F3067)</f>
        <v>21081.026</v>
      </c>
    </row>
    <row r="3066" ht="17.1" customHeight="1" spans="1:6">
      <c r="A3066" s="7"/>
      <c r="B3066" s="7" t="s">
        <v>841</v>
      </c>
      <c r="C3066" s="7" t="s">
        <v>840</v>
      </c>
      <c r="D3066" s="69">
        <f>D3028</f>
        <v>8.1</v>
      </c>
      <c r="E3066" s="42">
        <v>1971.6</v>
      </c>
      <c r="F3066" s="69">
        <f>D3066*E3066</f>
        <v>15969.96</v>
      </c>
    </row>
    <row r="3067" ht="17.1" customHeight="1" spans="1:6">
      <c r="A3067" s="7"/>
      <c r="B3067" s="7" t="s">
        <v>842</v>
      </c>
      <c r="C3067" s="7" t="s">
        <v>840</v>
      </c>
      <c r="D3067" s="69">
        <f>D3029</f>
        <v>5.77</v>
      </c>
      <c r="E3067" s="42">
        <v>885.8</v>
      </c>
      <c r="F3067" s="69">
        <f>D3067*E3067</f>
        <v>5111.066</v>
      </c>
    </row>
    <row r="3068" ht="17.1" customHeight="1" spans="1:6">
      <c r="A3068" s="7" t="s">
        <v>1110</v>
      </c>
      <c r="B3068" s="7" t="s">
        <v>912</v>
      </c>
      <c r="C3068" s="7"/>
      <c r="D3068" s="34"/>
      <c r="E3068" s="34"/>
      <c r="F3068" s="34">
        <f>SUM(F3069:F3073)</f>
        <v>41521.447801575</v>
      </c>
    </row>
    <row r="3069" ht="17.1" customHeight="1" spans="1:6">
      <c r="A3069" s="7"/>
      <c r="B3069" s="273" t="s">
        <v>996</v>
      </c>
      <c r="C3069" s="273" t="s">
        <v>169</v>
      </c>
      <c r="D3069" s="34">
        <f>D3031</f>
        <v>2238.008025</v>
      </c>
      <c r="E3069" s="34">
        <v>8.29</v>
      </c>
      <c r="F3069" s="274">
        <f>D3069*E3069</f>
        <v>18553.08652725</v>
      </c>
    </row>
    <row r="3070" ht="17.1" customHeight="1" spans="1:6">
      <c r="A3070" s="7"/>
      <c r="B3070" s="273" t="s">
        <v>1116</v>
      </c>
      <c r="C3070" s="273" t="s">
        <v>863</v>
      </c>
      <c r="D3070" s="34">
        <f>D2992</f>
        <v>7.99</v>
      </c>
      <c r="E3070" s="298">
        <v>36</v>
      </c>
      <c r="F3070" s="274">
        <f>D3070*E3070</f>
        <v>287.64</v>
      </c>
    </row>
    <row r="3071" ht="17.1" customHeight="1" spans="1:6">
      <c r="A3071" s="7"/>
      <c r="B3071" s="7" t="s">
        <v>1056</v>
      </c>
      <c r="C3071" s="7" t="s">
        <v>169</v>
      </c>
      <c r="D3071" s="34">
        <f>配合比!M12</f>
        <v>208.0428945</v>
      </c>
      <c r="E3071" s="298">
        <v>102</v>
      </c>
      <c r="F3071" s="274">
        <f>D3071*E3071</f>
        <v>21220.375239</v>
      </c>
    </row>
    <row r="3072" ht="17.1" customHeight="1" spans="1:6">
      <c r="A3072" s="7"/>
      <c r="B3072" s="7" t="s">
        <v>913</v>
      </c>
      <c r="C3072" s="7" t="s">
        <v>169</v>
      </c>
      <c r="D3072" s="69">
        <f>D2994</f>
        <v>3.59</v>
      </c>
      <c r="E3072" s="34">
        <v>180</v>
      </c>
      <c r="F3072" s="274">
        <f>D3072*E3072</f>
        <v>646.2</v>
      </c>
    </row>
    <row r="3073" ht="17.1" customHeight="1" spans="1:6">
      <c r="A3073" s="7"/>
      <c r="B3073" s="7" t="s">
        <v>1004</v>
      </c>
      <c r="C3073" s="9" t="s">
        <v>845</v>
      </c>
      <c r="D3073" s="254">
        <f>SUM(F3069:F3072)</f>
        <v>40707.30176625</v>
      </c>
      <c r="E3073" s="34">
        <v>2</v>
      </c>
      <c r="F3073" s="274">
        <f>D3073*E3073/100</f>
        <v>814.146035325</v>
      </c>
    </row>
    <row r="3074" ht="17.1" customHeight="1" spans="1:6">
      <c r="A3074" s="7" t="s">
        <v>1111</v>
      </c>
      <c r="B3074" s="7" t="s">
        <v>859</v>
      </c>
      <c r="C3074" s="7"/>
      <c r="D3074" s="34"/>
      <c r="E3074" s="34"/>
      <c r="F3074" s="254">
        <f>SUM(F3075:F3079)</f>
        <v>2634.21793443119</v>
      </c>
    </row>
    <row r="3075" ht="17.1" customHeight="1" spans="1:6">
      <c r="A3075" s="7"/>
      <c r="B3075" s="7" t="s">
        <v>1005</v>
      </c>
      <c r="C3075" s="7" t="s">
        <v>428</v>
      </c>
      <c r="D3075" s="34">
        <f>D2997</f>
        <v>49.389824491424</v>
      </c>
      <c r="E3075" s="34">
        <v>1.5</v>
      </c>
      <c r="F3075" s="34">
        <f>D3075*E3075</f>
        <v>74.084736737136</v>
      </c>
    </row>
    <row r="3076" ht="17.1" customHeight="1" spans="1:6">
      <c r="A3076" s="7"/>
      <c r="B3076" s="7" t="s">
        <v>1117</v>
      </c>
      <c r="C3076" s="7" t="s">
        <v>428</v>
      </c>
      <c r="D3076" s="34">
        <f>D2998</f>
        <v>23.9179521340247</v>
      </c>
      <c r="E3076" s="34">
        <v>18.36</v>
      </c>
      <c r="F3076" s="34">
        <f>D3076*E3076</f>
        <v>439.133601180694</v>
      </c>
    </row>
    <row r="3077" ht="17.1" customHeight="1" spans="1:6">
      <c r="A3077" s="7"/>
      <c r="B3077" s="7" t="s">
        <v>1009</v>
      </c>
      <c r="C3077" s="7" t="s">
        <v>428</v>
      </c>
      <c r="D3077" s="34">
        <f>D2999</f>
        <v>1.82152692461109</v>
      </c>
      <c r="E3077" s="34">
        <v>44</v>
      </c>
      <c r="F3077" s="34">
        <f>D3077*E3077</f>
        <v>80.1471846828879</v>
      </c>
    </row>
    <row r="3078" ht="17.1" customHeight="1" spans="1:6">
      <c r="A3078" s="7"/>
      <c r="B3078" s="7" t="s">
        <v>1118</v>
      </c>
      <c r="C3078" s="7" t="s">
        <v>428</v>
      </c>
      <c r="D3078" s="34">
        <f>D3000</f>
        <v>95.890325887515</v>
      </c>
      <c r="E3078" s="34">
        <v>17.7</v>
      </c>
      <c r="F3078" s="34">
        <f>D3078*E3078</f>
        <v>1697.25876820901</v>
      </c>
    </row>
    <row r="3079" ht="17.1" customHeight="1" spans="1:6">
      <c r="A3079" s="7"/>
      <c r="B3079" s="7" t="s">
        <v>918</v>
      </c>
      <c r="C3079" s="9" t="s">
        <v>845</v>
      </c>
      <c r="D3079" s="254">
        <f>SUM(F3075:F3078)</f>
        <v>2290.62429080973</v>
      </c>
      <c r="E3079" s="34">
        <v>15</v>
      </c>
      <c r="F3079" s="34">
        <f>D3079*E3079/100</f>
        <v>343.59364362146</v>
      </c>
    </row>
    <row r="3080" ht="17.1" customHeight="1" spans="1:6">
      <c r="A3080" s="5" t="s">
        <v>121</v>
      </c>
      <c r="B3080" s="5" t="s">
        <v>1010</v>
      </c>
      <c r="C3080" s="275"/>
      <c r="D3080" s="276"/>
      <c r="E3080" s="276"/>
      <c r="F3080" s="276">
        <f>SUM(F3081:F3082)</f>
        <v>1972.31972351059</v>
      </c>
    </row>
    <row r="3081" ht="17.1" customHeight="1" spans="1:6">
      <c r="A3081" s="7"/>
      <c r="B3081" s="123" t="s">
        <v>681</v>
      </c>
      <c r="C3081" s="123" t="s">
        <v>169</v>
      </c>
      <c r="D3081" s="274">
        <f>$F$2795/100</f>
        <v>5.03319379720782</v>
      </c>
      <c r="E3081" s="274">
        <v>102</v>
      </c>
      <c r="F3081" s="34">
        <f>D3081*E3081</f>
        <v>513.385767315197</v>
      </c>
    </row>
    <row r="3082" ht="17.1" customHeight="1" spans="1:6">
      <c r="A3082" s="7"/>
      <c r="B3082" s="123" t="s">
        <v>682</v>
      </c>
      <c r="C3082" s="123" t="s">
        <v>169</v>
      </c>
      <c r="D3082" s="274">
        <f>$F$2813/100</f>
        <v>14.303274080347</v>
      </c>
      <c r="E3082" s="274">
        <v>102</v>
      </c>
      <c r="F3082" s="34">
        <f>D3082*E3082</f>
        <v>1458.9339561954</v>
      </c>
    </row>
    <row r="3083" ht="17.1" customHeight="1" spans="1:6">
      <c r="A3083" s="7"/>
      <c r="B3083" s="7" t="s">
        <v>1119</v>
      </c>
      <c r="C3083" s="7"/>
      <c r="D3083" s="34"/>
      <c r="E3083" s="34"/>
      <c r="F3083" s="34">
        <f>F3065+F3068+F3074+F3080</f>
        <v>67209.0114595168</v>
      </c>
    </row>
    <row r="3084" ht="17.1" customHeight="1" spans="1:6">
      <c r="A3084" s="7"/>
      <c r="B3084" s="7"/>
      <c r="C3084" s="7"/>
      <c r="D3084" s="34"/>
      <c r="E3084" s="34"/>
      <c r="F3084" s="34"/>
    </row>
    <row r="3085" ht="17.1" customHeight="1" spans="1:6">
      <c r="A3085" s="7"/>
      <c r="B3085" s="7"/>
      <c r="C3085" s="7"/>
      <c r="D3085" s="34"/>
      <c r="E3085" s="34"/>
      <c r="F3085" s="34"/>
    </row>
    <row r="3086" ht="17.1" customHeight="1" spans="1:6">
      <c r="A3086" s="7"/>
      <c r="B3086" s="7"/>
      <c r="C3086" s="7"/>
      <c r="D3086" s="34"/>
      <c r="E3086" s="34"/>
      <c r="F3086" s="34"/>
    </row>
    <row r="3087" ht="17.1" customHeight="1" spans="1:6">
      <c r="A3087" s="7"/>
      <c r="B3087" s="7"/>
      <c r="C3087" s="7"/>
      <c r="D3087" s="34"/>
      <c r="E3087" s="34"/>
      <c r="F3087" s="34"/>
    </row>
    <row r="3088" ht="17.1" customHeight="1" spans="1:6">
      <c r="A3088" s="7"/>
      <c r="B3088" s="7"/>
      <c r="C3088" s="7"/>
      <c r="D3088" s="34"/>
      <c r="E3088" s="34"/>
      <c r="F3088" s="34"/>
    </row>
    <row r="3089" ht="17.1" customHeight="1" spans="1:6">
      <c r="A3089" s="7"/>
      <c r="B3089" s="7"/>
      <c r="C3089" s="7"/>
      <c r="D3089" s="34"/>
      <c r="E3089" s="34"/>
      <c r="F3089" s="34"/>
    </row>
    <row r="3090" ht="17.1" customHeight="1" spans="1:6">
      <c r="A3090" s="7"/>
      <c r="B3090" s="7"/>
      <c r="C3090" s="7"/>
      <c r="D3090" s="34"/>
      <c r="E3090" s="34"/>
      <c r="F3090" s="34"/>
    </row>
    <row r="3091" ht="17.1" customHeight="1" spans="1:6">
      <c r="A3091" s="7"/>
      <c r="B3091" s="7"/>
      <c r="C3091" s="7"/>
      <c r="D3091" s="34"/>
      <c r="E3091" s="34"/>
      <c r="F3091" s="34"/>
    </row>
    <row r="3092" ht="17.1" customHeight="1" spans="1:6">
      <c r="A3092" s="7"/>
      <c r="B3092" s="7"/>
      <c r="C3092" s="7"/>
      <c r="D3092" s="34"/>
      <c r="E3092" s="34"/>
      <c r="F3092" s="34"/>
    </row>
    <row r="3093" ht="17.1" customHeight="1" spans="1:6">
      <c r="A3093" s="7"/>
      <c r="B3093" s="7"/>
      <c r="C3093" s="7"/>
      <c r="D3093" s="34"/>
      <c r="E3093" s="34"/>
      <c r="F3093" s="34"/>
    </row>
    <row r="3094" ht="17.1" customHeight="1" spans="1:6">
      <c r="A3094" s="7"/>
      <c r="B3094" s="7"/>
      <c r="C3094" s="7"/>
      <c r="D3094" s="34"/>
      <c r="E3094" s="34"/>
      <c r="F3094" s="34"/>
    </row>
    <row r="3095" ht="17.1" customHeight="1" spans="1:6">
      <c r="A3095" s="7"/>
      <c r="B3095" s="7"/>
      <c r="C3095" s="7"/>
      <c r="D3095" s="34"/>
      <c r="E3095" s="34"/>
      <c r="F3095" s="34"/>
    </row>
    <row r="3096" ht="17.1" customHeight="1" spans="1:6">
      <c r="A3096" s="7"/>
      <c r="B3096" s="7"/>
      <c r="C3096" s="7"/>
      <c r="D3096" s="34"/>
      <c r="E3096" s="34"/>
      <c r="F3096" s="34"/>
    </row>
    <row r="3097" ht="17.1" customHeight="1" spans="1:6">
      <c r="A3097" s="7"/>
      <c r="B3097" s="7"/>
      <c r="C3097" s="7"/>
      <c r="D3097" s="34"/>
      <c r="E3097" s="34"/>
      <c r="F3097" s="34"/>
    </row>
    <row r="3098" ht="17.1" customHeight="1" spans="1:6">
      <c r="A3098" s="7"/>
      <c r="B3098" s="7"/>
      <c r="C3098" s="7"/>
      <c r="D3098" s="34"/>
      <c r="E3098" s="34"/>
      <c r="F3098" s="34"/>
    </row>
    <row r="3099" ht="17.1" customHeight="1" spans="1:6">
      <c r="A3099" s="7"/>
      <c r="B3099" s="7"/>
      <c r="C3099" s="7"/>
      <c r="D3099" s="34"/>
      <c r="E3099" s="34"/>
      <c r="F3099" s="34"/>
    </row>
    <row r="3100" ht="17.1" customHeight="1" spans="1:6">
      <c r="A3100" s="224" t="s">
        <v>828</v>
      </c>
      <c r="B3100" s="225"/>
      <c r="C3100" s="225"/>
      <c r="D3100" s="225"/>
      <c r="E3100" s="225"/>
      <c r="F3100" s="225"/>
    </row>
    <row r="3101" ht="17.1" customHeight="1" spans="1:6">
      <c r="A3101" s="296" t="s">
        <v>1129</v>
      </c>
      <c r="B3101" s="296"/>
      <c r="C3101" s="296"/>
      <c r="D3101" s="296"/>
      <c r="E3101" s="296"/>
      <c r="F3101" s="296"/>
    </row>
    <row r="3102" ht="17.1" customHeight="1" spans="1:6">
      <c r="A3102" s="227" t="s">
        <v>1121</v>
      </c>
      <c r="B3102" s="228"/>
      <c r="C3102" s="272"/>
      <c r="D3102" s="272"/>
      <c r="E3102" s="228" t="s">
        <v>832</v>
      </c>
      <c r="F3102" s="228"/>
    </row>
    <row r="3103" ht="17.1" customHeight="1" spans="1:6">
      <c r="A3103" s="146" t="s">
        <v>911</v>
      </c>
      <c r="B3103" s="233"/>
      <c r="C3103" s="233"/>
      <c r="D3103" s="233"/>
      <c r="E3103" s="233"/>
      <c r="F3103" s="147"/>
    </row>
    <row r="3104" ht="17.1" customHeight="1" spans="1:6">
      <c r="A3104" s="7" t="s">
        <v>104</v>
      </c>
      <c r="B3104" s="7" t="s">
        <v>835</v>
      </c>
      <c r="C3104" s="7" t="s">
        <v>159</v>
      </c>
      <c r="D3104" s="7" t="s">
        <v>422</v>
      </c>
      <c r="E3104" s="7" t="s">
        <v>160</v>
      </c>
      <c r="F3104" s="7" t="s">
        <v>18</v>
      </c>
    </row>
    <row r="3105" ht="17.1" customHeight="1" spans="1:6">
      <c r="A3105" s="7" t="s">
        <v>836</v>
      </c>
      <c r="B3105" s="7" t="s">
        <v>837</v>
      </c>
      <c r="C3105" s="7"/>
      <c r="D3105" s="7"/>
      <c r="E3105" s="7"/>
      <c r="F3105" s="34">
        <f>F3106+F3124+F3125</f>
        <v>83392.9477191954</v>
      </c>
    </row>
    <row r="3106" ht="17.1" customHeight="1" spans="1:6">
      <c r="A3106" s="7" t="s">
        <v>539</v>
      </c>
      <c r="B3106" s="7" t="s">
        <v>838</v>
      </c>
      <c r="C3106" s="7"/>
      <c r="D3106" s="7"/>
      <c r="E3106" s="7"/>
      <c r="F3106" s="34">
        <f>F3107+F3110+F3117+F3122</f>
        <v>79573.4233961788</v>
      </c>
    </row>
    <row r="3107" ht="17.1" customHeight="1" spans="1:6">
      <c r="A3107" s="7">
        <v>1</v>
      </c>
      <c r="B3107" s="7" t="s">
        <v>839</v>
      </c>
      <c r="C3107" s="7" t="s">
        <v>840</v>
      </c>
      <c r="D3107" s="34"/>
      <c r="E3107" s="42">
        <f>SUM(E3108:E3109)</f>
        <v>574.6</v>
      </c>
      <c r="F3107" s="69">
        <f>SUM(F3108:F3109)</f>
        <v>4654.26</v>
      </c>
    </row>
    <row r="3108" ht="17.1" customHeight="1" spans="1:6">
      <c r="A3108" s="7"/>
      <c r="B3108" s="7" t="s">
        <v>841</v>
      </c>
      <c r="C3108" s="7" t="s">
        <v>840</v>
      </c>
      <c r="D3108" s="69">
        <f>D3066</f>
        <v>8.1</v>
      </c>
      <c r="E3108" s="42">
        <v>574.6</v>
      </c>
      <c r="F3108" s="69">
        <f>D3108*E3108</f>
        <v>4654.26</v>
      </c>
    </row>
    <row r="3109" ht="17.1" customHeight="1" spans="1:6">
      <c r="A3109" s="7"/>
      <c r="B3109" s="7" t="s">
        <v>842</v>
      </c>
      <c r="C3109" s="7" t="s">
        <v>840</v>
      </c>
      <c r="D3109" s="69">
        <f>D3067</f>
        <v>5.77</v>
      </c>
      <c r="E3109" s="42">
        <v>0</v>
      </c>
      <c r="F3109" s="69">
        <f>D3109*E3109</f>
        <v>0</v>
      </c>
    </row>
    <row r="3110" ht="17.1" customHeight="1" spans="1:6">
      <c r="A3110" s="7">
        <v>2</v>
      </c>
      <c r="B3110" s="7" t="s">
        <v>912</v>
      </c>
      <c r="C3110" s="7"/>
      <c r="D3110" s="34"/>
      <c r="E3110" s="34"/>
      <c r="F3110" s="254">
        <f>SUM(F3111:F3116)</f>
        <v>72451.0080579244</v>
      </c>
    </row>
    <row r="3111" ht="17.1" customHeight="1" spans="1:6">
      <c r="A3111" s="7"/>
      <c r="B3111" s="273" t="s">
        <v>996</v>
      </c>
      <c r="C3111" s="273" t="s">
        <v>169</v>
      </c>
      <c r="D3111" s="34">
        <f>D3069</f>
        <v>2238.008025</v>
      </c>
      <c r="E3111" s="34">
        <v>0.19</v>
      </c>
      <c r="F3111" s="34">
        <f>D3111*E3111</f>
        <v>425.22152475</v>
      </c>
    </row>
    <row r="3112" ht="17.1" customHeight="1" spans="1:6">
      <c r="A3112" s="7"/>
      <c r="B3112" s="273" t="s">
        <v>1122</v>
      </c>
      <c r="C3112" s="273" t="s">
        <v>169</v>
      </c>
      <c r="D3112" s="34">
        <f>D3111</f>
        <v>2238.008025</v>
      </c>
      <c r="E3112" s="34">
        <v>0.62</v>
      </c>
      <c r="F3112" s="34">
        <f>D3112*E3112</f>
        <v>1387.5649755</v>
      </c>
    </row>
    <row r="3113" ht="17.1" customHeight="1" spans="1:6">
      <c r="A3113" s="7"/>
      <c r="B3113" s="7" t="s">
        <v>977</v>
      </c>
      <c r="C3113" s="273" t="s">
        <v>169</v>
      </c>
      <c r="D3113" s="69">
        <f>D3033</f>
        <v>144.54347</v>
      </c>
      <c r="E3113" s="34">
        <v>1.8</v>
      </c>
      <c r="F3113" s="34">
        <f>D3113*E3113</f>
        <v>260.178246</v>
      </c>
    </row>
    <row r="3114" ht="17.1" customHeight="1" spans="1:6">
      <c r="A3114" s="7"/>
      <c r="B3114" s="7" t="s">
        <v>1123</v>
      </c>
      <c r="C3114" s="273" t="s">
        <v>169</v>
      </c>
      <c r="D3114" s="34">
        <f>F3083/100</f>
        <v>672.090114595168</v>
      </c>
      <c r="E3114" s="34">
        <v>100</v>
      </c>
      <c r="F3114" s="34">
        <f>D3114*E3114</f>
        <v>67209.0114595168</v>
      </c>
    </row>
    <row r="3115" ht="17.1" customHeight="1" spans="1:6">
      <c r="A3115" s="7"/>
      <c r="B3115" s="7" t="s">
        <v>1056</v>
      </c>
      <c r="C3115" s="273" t="s">
        <v>169</v>
      </c>
      <c r="D3115" s="34">
        <f>D3071</f>
        <v>208.0428945</v>
      </c>
      <c r="E3115" s="34">
        <v>13.5</v>
      </c>
      <c r="F3115" s="34">
        <f>D3115*E3115</f>
        <v>2808.57907575</v>
      </c>
    </row>
    <row r="3116" ht="17.1" customHeight="1" spans="1:6">
      <c r="A3116" s="7"/>
      <c r="B3116" s="7" t="s">
        <v>1004</v>
      </c>
      <c r="C3116" s="300" t="s">
        <v>845</v>
      </c>
      <c r="D3116" s="254">
        <f>SUM(F3111:F3115)</f>
        <v>72090.5552815168</v>
      </c>
      <c r="E3116" s="34">
        <v>0.5</v>
      </c>
      <c r="F3116" s="34">
        <f>D3116*E3116/100</f>
        <v>360.452776407584</v>
      </c>
    </row>
    <row r="3117" ht="17.1" customHeight="1" spans="1:6">
      <c r="A3117" s="7">
        <v>3</v>
      </c>
      <c r="B3117" s="7" t="s">
        <v>859</v>
      </c>
      <c r="C3117" s="7"/>
      <c r="D3117" s="34"/>
      <c r="E3117" s="34"/>
      <c r="F3117" s="254">
        <f>SUM(F3118:F3121)</f>
        <v>2400.20722199213</v>
      </c>
    </row>
    <row r="3118" ht="17.1" customHeight="1" spans="1:6">
      <c r="A3118" s="7"/>
      <c r="B3118" s="7" t="s">
        <v>1124</v>
      </c>
      <c r="C3118" s="7" t="s">
        <v>428</v>
      </c>
      <c r="D3118" s="34">
        <f>D3038</f>
        <v>62.3342780215397</v>
      </c>
      <c r="E3118" s="34">
        <v>37</v>
      </c>
      <c r="F3118" s="34">
        <f>D3118*E3118</f>
        <v>2306.36828679697</v>
      </c>
    </row>
    <row r="3119" ht="17.1" customHeight="1" spans="1:6">
      <c r="A3119" s="7"/>
      <c r="B3119" s="7" t="s">
        <v>1117</v>
      </c>
      <c r="C3119" s="7" t="s">
        <v>428</v>
      </c>
      <c r="D3119" s="34">
        <f>D3039</f>
        <v>23.9179521340247</v>
      </c>
      <c r="E3119" s="34">
        <v>2.5029</v>
      </c>
      <c r="F3119" s="34">
        <f>D3119*E3119</f>
        <v>59.8642423962505</v>
      </c>
    </row>
    <row r="3120" ht="17.1" customHeight="1" spans="1:6">
      <c r="A3120" s="7"/>
      <c r="B3120" s="7" t="s">
        <v>967</v>
      </c>
      <c r="C3120" s="7" t="s">
        <v>428</v>
      </c>
      <c r="D3120" s="34">
        <f>D3040</f>
        <v>0.813242919824491</v>
      </c>
      <c r="E3120" s="251">
        <v>12.555</v>
      </c>
      <c r="F3120" s="34">
        <f>D3120*E3120</f>
        <v>10.2102648583965</v>
      </c>
    </row>
    <row r="3121" ht="17.1" customHeight="1" spans="1:6">
      <c r="A3121" s="7"/>
      <c r="B3121" s="7" t="s">
        <v>918</v>
      </c>
      <c r="C3121" s="9" t="s">
        <v>845</v>
      </c>
      <c r="D3121" s="254">
        <f>SUM(F3118:F3120)</f>
        <v>2376.44279405162</v>
      </c>
      <c r="E3121" s="34">
        <v>1</v>
      </c>
      <c r="F3121" s="34">
        <f>D3121*E3121/100</f>
        <v>23.7644279405162</v>
      </c>
    </row>
    <row r="3122" ht="17.1" customHeight="1" spans="1:6">
      <c r="A3122" s="7">
        <v>4</v>
      </c>
      <c r="B3122" s="7" t="s">
        <v>1010</v>
      </c>
      <c r="C3122" s="275"/>
      <c r="D3122" s="254"/>
      <c r="E3122" s="34"/>
      <c r="F3122" s="34">
        <f>F3123</f>
        <v>67.9481162623055</v>
      </c>
    </row>
    <row r="3123" ht="17.1" customHeight="1" spans="1:6">
      <c r="A3123" s="7"/>
      <c r="B3123" s="123" t="s">
        <v>681</v>
      </c>
      <c r="C3123" s="123" t="s">
        <v>169</v>
      </c>
      <c r="D3123" s="254">
        <f>D3081</f>
        <v>5.03319379720782</v>
      </c>
      <c r="E3123" s="34">
        <v>13.5</v>
      </c>
      <c r="F3123" s="34">
        <f>D3123*E3123</f>
        <v>67.9481162623055</v>
      </c>
    </row>
    <row r="3124" ht="17.1" customHeight="1" spans="1:6">
      <c r="A3124" s="7" t="s">
        <v>564</v>
      </c>
      <c r="B3124" s="7" t="s">
        <v>846</v>
      </c>
      <c r="C3124" s="230">
        <f>取费表!$C$7</f>
        <v>0.048</v>
      </c>
      <c r="D3124" s="254"/>
      <c r="E3124" s="34">
        <f>F3106</f>
        <v>79573.4233961788</v>
      </c>
      <c r="F3124" s="34">
        <f>E3124*C3124</f>
        <v>3819.52432301658</v>
      </c>
    </row>
    <row r="3125" ht="17.1" customHeight="1" spans="1:6">
      <c r="A3125" s="7"/>
      <c r="B3125" s="7"/>
      <c r="C3125" s="230"/>
      <c r="D3125" s="254"/>
      <c r="E3125" s="34"/>
      <c r="F3125" s="34"/>
    </row>
    <row r="3126" ht="17.1" customHeight="1" spans="1:6">
      <c r="A3126" s="7" t="s">
        <v>439</v>
      </c>
      <c r="B3126" s="7" t="s">
        <v>847</v>
      </c>
      <c r="C3126" s="230">
        <f>取费表!$E$7</f>
        <v>0.07</v>
      </c>
      <c r="D3126" s="254"/>
      <c r="E3126" s="34">
        <f>F3105</f>
        <v>83392.9477191954</v>
      </c>
      <c r="F3126" s="34">
        <f>E3126*C3126</f>
        <v>5837.50634034368</v>
      </c>
    </row>
    <row r="3127" ht="17.1" customHeight="1" spans="1:6">
      <c r="A3127" s="7" t="s">
        <v>83</v>
      </c>
      <c r="B3127" s="7" t="s">
        <v>848</v>
      </c>
      <c r="C3127" s="230">
        <f>取费表!$F$7</f>
        <v>0.07</v>
      </c>
      <c r="D3127" s="254"/>
      <c r="E3127" s="34">
        <f>F3126+F3105</f>
        <v>89230.4540595391</v>
      </c>
      <c r="F3127" s="34">
        <f>E3127*C3127</f>
        <v>6246.13178416773</v>
      </c>
    </row>
    <row r="3128" ht="17.1" customHeight="1" spans="1:6">
      <c r="A3128" s="5" t="s">
        <v>121</v>
      </c>
      <c r="B3128" s="5" t="s">
        <v>861</v>
      </c>
      <c r="C3128" s="275"/>
      <c r="D3128" s="276"/>
      <c r="E3128" s="5"/>
      <c r="F3128" s="277">
        <f>F3129+F3134</f>
        <v>13509.3058478725</v>
      </c>
    </row>
    <row r="3129" ht="17.1" customHeight="1" spans="1:6">
      <c r="A3129" s="7">
        <v>1</v>
      </c>
      <c r="B3129" s="7" t="s">
        <v>1011</v>
      </c>
      <c r="C3129" s="9"/>
      <c r="D3129" s="34"/>
      <c r="E3129" s="7"/>
      <c r="F3129" s="69">
        <f>SUM(F3130:F3133)</f>
        <v>12173.8108478725</v>
      </c>
    </row>
    <row r="3130" ht="17.1" customHeight="1" spans="1:6">
      <c r="A3130" s="7"/>
      <c r="B3130" s="7"/>
      <c r="C3130" s="7"/>
      <c r="D3130" s="34"/>
      <c r="E3130" s="34"/>
      <c r="F3130" s="69"/>
    </row>
    <row r="3131" ht="17.1" customHeight="1" spans="1:6">
      <c r="A3131" s="7"/>
      <c r="B3131" s="7" t="s">
        <v>979</v>
      </c>
      <c r="C3131" s="7" t="s">
        <v>200</v>
      </c>
      <c r="D3131" s="34">
        <f>D3051</f>
        <v>141.58936</v>
      </c>
      <c r="E3131" s="34">
        <f>116*配合比!E12</f>
        <v>52.428288</v>
      </c>
      <c r="F3131" s="69">
        <f>D3131*E3131</f>
        <v>7423.28774381568</v>
      </c>
    </row>
    <row r="3132" ht="17.1" customHeight="1" spans="1:6">
      <c r="A3132" s="7"/>
      <c r="B3132" s="7" t="s">
        <v>961</v>
      </c>
      <c r="C3132" s="7" t="s">
        <v>169</v>
      </c>
      <c r="D3132" s="34">
        <f>D3052</f>
        <v>34.366056</v>
      </c>
      <c r="E3132" s="34">
        <f>116*配合比!G12</f>
        <v>57.52208</v>
      </c>
      <c r="F3132" s="69">
        <f>D3132*E3132</f>
        <v>1976.80702251648</v>
      </c>
    </row>
    <row r="3133" ht="17.1" customHeight="1" spans="1:6">
      <c r="A3133" s="7"/>
      <c r="B3133" s="7" t="s">
        <v>1012</v>
      </c>
      <c r="C3133" s="7" t="s">
        <v>169</v>
      </c>
      <c r="D3133" s="34">
        <f>D3053</f>
        <v>29.13701</v>
      </c>
      <c r="E3133" s="34">
        <f>116*配合比!I12</f>
        <v>95.195632</v>
      </c>
      <c r="F3133" s="69">
        <f>D3133*E3133</f>
        <v>2773.71608154032</v>
      </c>
    </row>
    <row r="3134" ht="17.1" customHeight="1" spans="1:6">
      <c r="A3134" s="7">
        <v>2</v>
      </c>
      <c r="B3134" s="7" t="s">
        <v>1013</v>
      </c>
      <c r="C3134" s="7"/>
      <c r="D3134" s="34"/>
      <c r="E3134" s="38"/>
      <c r="F3134" s="69">
        <f>SUM(F3135:F3136)</f>
        <v>1335.495</v>
      </c>
    </row>
    <row r="3135" ht="17.1" customHeight="1" spans="1:6">
      <c r="A3135" s="7"/>
      <c r="B3135" s="7" t="s">
        <v>1014</v>
      </c>
      <c r="C3135" s="7" t="s">
        <v>863</v>
      </c>
      <c r="D3135" s="34">
        <f>D3055</f>
        <v>5.925</v>
      </c>
      <c r="E3135" s="38">
        <f>(E3075*7.2+E3118*5.8)</f>
        <v>225.4</v>
      </c>
      <c r="F3135" s="69">
        <f>D3135*E3135</f>
        <v>1335.495</v>
      </c>
    </row>
    <row r="3136" ht="17.1" customHeight="1" spans="1:6">
      <c r="A3136" s="7"/>
      <c r="B3136" s="7" t="s">
        <v>862</v>
      </c>
      <c r="C3136" s="9" t="s">
        <v>863</v>
      </c>
      <c r="D3136" s="34">
        <f>D3056</f>
        <v>4.58</v>
      </c>
      <c r="E3136" s="38">
        <v>0</v>
      </c>
      <c r="F3136" s="69">
        <f>D3136*E3136</f>
        <v>0</v>
      </c>
    </row>
    <row r="3137" ht="17.1" customHeight="1" spans="1:6">
      <c r="A3137" s="7" t="s">
        <v>135</v>
      </c>
      <c r="B3137" s="7" t="s">
        <v>849</v>
      </c>
      <c r="C3137" s="231">
        <f>C3057</f>
        <v>0.09</v>
      </c>
      <c r="D3137" s="34"/>
      <c r="E3137" s="34">
        <f>F3128+F3127+F3126+F3105</f>
        <v>108985.891691579</v>
      </c>
      <c r="F3137" s="34">
        <f>E3137*C3137</f>
        <v>9808.73025224214</v>
      </c>
    </row>
    <row r="3138" ht="17.1" customHeight="1" spans="1:6">
      <c r="A3138" s="7"/>
      <c r="B3138" s="7" t="s">
        <v>850</v>
      </c>
      <c r="C3138" s="231"/>
      <c r="D3138" s="34"/>
      <c r="E3138" s="34"/>
      <c r="F3138" s="34">
        <f>(F3105+F3126+F3127+F3128+F3137)*取费表!H7</f>
        <v>3563.83865831464</v>
      </c>
    </row>
    <row r="3139" ht="17.1" customHeight="1" spans="1:6">
      <c r="A3139" s="7"/>
      <c r="B3139" s="7" t="s">
        <v>156</v>
      </c>
      <c r="C3139" s="7"/>
      <c r="D3139" s="34"/>
      <c r="E3139" s="34"/>
      <c r="F3139" s="34">
        <f>F3137+E3137+F3138</f>
        <v>122358.460602136</v>
      </c>
    </row>
    <row r="3140" ht="17.45" customHeight="1" spans="1:6">
      <c r="A3140" s="224" t="s">
        <v>828</v>
      </c>
      <c r="B3140" s="225"/>
      <c r="C3140" s="225"/>
      <c r="D3140" s="225"/>
      <c r="E3140" s="225"/>
      <c r="F3140" s="225"/>
    </row>
    <row r="3141" ht="17.45" customHeight="1" spans="1:6">
      <c r="A3141" s="296" t="s">
        <v>1132</v>
      </c>
      <c r="B3141" s="296"/>
      <c r="C3141" s="296"/>
      <c r="D3141" s="296"/>
      <c r="E3141" s="296"/>
      <c r="F3141" s="296"/>
    </row>
    <row r="3142" ht="17.45" customHeight="1" spans="1:6">
      <c r="A3142" s="227" t="s">
        <v>1133</v>
      </c>
      <c r="B3142" s="228"/>
      <c r="C3142" s="272"/>
      <c r="D3142" s="272"/>
      <c r="E3142" s="228" t="s">
        <v>1134</v>
      </c>
      <c r="F3142" s="228"/>
    </row>
    <row r="3143" ht="17.45" customHeight="1" spans="1:6">
      <c r="A3143" s="232" t="s">
        <v>911</v>
      </c>
      <c r="B3143" s="233"/>
      <c r="C3143" s="233"/>
      <c r="D3143" s="233"/>
      <c r="E3143" s="233"/>
      <c r="F3143" s="147"/>
    </row>
    <row r="3144" ht="17.45" customHeight="1" spans="1:6">
      <c r="A3144" s="7" t="s">
        <v>104</v>
      </c>
      <c r="B3144" s="7" t="s">
        <v>835</v>
      </c>
      <c r="C3144" s="7" t="s">
        <v>159</v>
      </c>
      <c r="D3144" s="7" t="s">
        <v>422</v>
      </c>
      <c r="E3144" s="7" t="s">
        <v>160</v>
      </c>
      <c r="F3144" s="7" t="s">
        <v>18</v>
      </c>
    </row>
    <row r="3145" ht="17.45" customHeight="1" spans="1:6">
      <c r="A3145" s="7" t="s">
        <v>836</v>
      </c>
      <c r="B3145" s="7" t="s">
        <v>837</v>
      </c>
      <c r="C3145" s="7"/>
      <c r="D3145" s="7"/>
      <c r="E3145" s="7"/>
      <c r="F3145" s="34">
        <f>F3146+F3166+F3167</f>
        <v>3935.00061663091</v>
      </c>
    </row>
    <row r="3146" ht="17.45" customHeight="1" spans="1:6">
      <c r="A3146" s="7" t="s">
        <v>539</v>
      </c>
      <c r="B3146" s="7" t="s">
        <v>838</v>
      </c>
      <c r="C3146" s="7"/>
      <c r="D3146" s="7"/>
      <c r="E3146" s="7"/>
      <c r="F3146" s="34">
        <f>F3147+F3150+F3156</f>
        <v>3754.77158075469</v>
      </c>
    </row>
    <row r="3147" ht="17.45" customHeight="1" spans="1:6">
      <c r="A3147" s="7">
        <v>1</v>
      </c>
      <c r="B3147" s="7" t="s">
        <v>839</v>
      </c>
      <c r="C3147" s="7" t="s">
        <v>840</v>
      </c>
      <c r="D3147" s="297"/>
      <c r="E3147" s="42">
        <f>SUM(E3148:E3149)</f>
        <v>108.5</v>
      </c>
      <c r="F3147" s="69">
        <f>SUM(F3148:F3149)</f>
        <v>814.076</v>
      </c>
    </row>
    <row r="3148" s="217" customFormat="1" ht="17.45" customHeight="1" spans="1:6">
      <c r="A3148" s="7"/>
      <c r="B3148" s="7" t="s">
        <v>841</v>
      </c>
      <c r="C3148" s="7" t="s">
        <v>840</v>
      </c>
      <c r="D3148" s="69">
        <f>材料预算价!K29</f>
        <v>8.1</v>
      </c>
      <c r="E3148" s="42">
        <v>80.7</v>
      </c>
      <c r="F3148" s="69">
        <f t="shared" ref="F3148:F3154" si="218">D3148*E3148</f>
        <v>653.67</v>
      </c>
    </row>
    <row r="3149" s="217" customFormat="1" ht="17.45" customHeight="1" spans="1:6">
      <c r="A3149" s="7"/>
      <c r="B3149" s="7" t="s">
        <v>842</v>
      </c>
      <c r="C3149" s="7" t="s">
        <v>840</v>
      </c>
      <c r="D3149" s="69">
        <f>材料预算价!K28</f>
        <v>5.77</v>
      </c>
      <c r="E3149" s="42">
        <v>27.8</v>
      </c>
      <c r="F3149" s="69">
        <f t="shared" si="218"/>
        <v>160.406</v>
      </c>
    </row>
    <row r="3150" ht="17.45" customHeight="1" spans="1:6">
      <c r="A3150" s="7">
        <v>2</v>
      </c>
      <c r="B3150" s="7" t="s">
        <v>912</v>
      </c>
      <c r="C3150" s="7"/>
      <c r="D3150" s="34"/>
      <c r="E3150" s="34"/>
      <c r="F3150" s="254">
        <f>SUM(F3151:F3155)</f>
        <v>2701.046434</v>
      </c>
    </row>
    <row r="3151" ht="17.45" customHeight="1" spans="1:6">
      <c r="A3151" s="301"/>
      <c r="B3151" s="7" t="s">
        <v>1135</v>
      </c>
      <c r="C3151" s="7" t="s">
        <v>200</v>
      </c>
      <c r="D3151" s="69">
        <f>材料预算价!L4</f>
        <v>2560</v>
      </c>
      <c r="E3151" s="7">
        <v>1.02</v>
      </c>
      <c r="F3151" s="69">
        <f t="shared" si="218"/>
        <v>2611.2</v>
      </c>
    </row>
    <row r="3152" ht="17.45" customHeight="1" spans="1:6">
      <c r="A3152" s="301"/>
      <c r="B3152" s="7" t="s">
        <v>1136</v>
      </c>
      <c r="C3152" s="7" t="s">
        <v>863</v>
      </c>
      <c r="D3152" s="34">
        <f>基础材料表!D29</f>
        <v>5</v>
      </c>
      <c r="E3152" s="7">
        <v>4</v>
      </c>
      <c r="F3152" s="7">
        <f t="shared" si="218"/>
        <v>20</v>
      </c>
    </row>
    <row r="3153" ht="17.45" customHeight="1" spans="1:6">
      <c r="A3153" s="301"/>
      <c r="B3153" s="7" t="s">
        <v>1000</v>
      </c>
      <c r="C3153" s="7" t="s">
        <v>863</v>
      </c>
      <c r="D3153" s="7">
        <f>基础材料表!D28</f>
        <v>4.5</v>
      </c>
      <c r="E3153" s="7">
        <v>0</v>
      </c>
      <c r="F3153" s="7">
        <f t="shared" si="218"/>
        <v>0</v>
      </c>
    </row>
    <row r="3154" ht="17.45" customHeight="1" spans="1:6">
      <c r="A3154" s="301"/>
      <c r="B3154" s="7" t="s">
        <v>1002</v>
      </c>
      <c r="C3154" s="7" t="s">
        <v>863</v>
      </c>
      <c r="D3154" s="34">
        <f>基础材料表!D5</f>
        <v>5.97</v>
      </c>
      <c r="E3154" s="7">
        <v>7.22</v>
      </c>
      <c r="F3154" s="69">
        <f t="shared" si="218"/>
        <v>43.1034</v>
      </c>
    </row>
    <row r="3155" ht="17.45" customHeight="1" spans="1:6">
      <c r="A3155" s="301"/>
      <c r="B3155" s="7" t="s">
        <v>1004</v>
      </c>
      <c r="C3155" s="9" t="s">
        <v>845</v>
      </c>
      <c r="D3155" s="250">
        <f>SUM(F3151:F3154)</f>
        <v>2674.3034</v>
      </c>
      <c r="E3155" s="69">
        <v>1</v>
      </c>
      <c r="F3155" s="69">
        <f>D3155*E3155/100</f>
        <v>26.743034</v>
      </c>
    </row>
    <row r="3156" ht="17.45" customHeight="1" spans="1:6">
      <c r="A3156" s="7">
        <v>3</v>
      </c>
      <c r="B3156" s="7" t="s">
        <v>859</v>
      </c>
      <c r="C3156" s="7"/>
      <c r="D3156" s="69"/>
      <c r="E3156" s="69"/>
      <c r="F3156" s="250">
        <f>SUM(F3157:F3165)</f>
        <v>239.649146754687</v>
      </c>
    </row>
    <row r="3157" ht="17.45" customHeight="1" spans="1:6">
      <c r="A3157" s="7"/>
      <c r="B3157" s="7" t="s">
        <v>1137</v>
      </c>
      <c r="C3157" s="7" t="s">
        <v>428</v>
      </c>
      <c r="D3157" s="69">
        <f>台时!H168</f>
        <v>18.645194256083</v>
      </c>
      <c r="E3157" s="69">
        <v>0.6</v>
      </c>
      <c r="F3157" s="69">
        <f t="shared" ref="F3157:F3164" si="219">D3157*E3157</f>
        <v>11.1871165536498</v>
      </c>
    </row>
    <row r="3158" ht="17.45" customHeight="1" spans="1:6">
      <c r="A3158" s="7"/>
      <c r="B3158" s="229" t="s">
        <v>1138</v>
      </c>
      <c r="C3158" s="229" t="s">
        <v>428</v>
      </c>
      <c r="D3158" s="69">
        <f>台时!G42</f>
        <v>37.5880167530913</v>
      </c>
      <c r="E3158" s="69">
        <v>1.5</v>
      </c>
      <c r="F3158" s="69">
        <f t="shared" si="219"/>
        <v>56.382025129637</v>
      </c>
    </row>
    <row r="3159" ht="17.45" customHeight="1" spans="1:6">
      <c r="A3159" s="7"/>
      <c r="B3159" s="7" t="s">
        <v>1139</v>
      </c>
      <c r="C3159" s="7" t="s">
        <v>428</v>
      </c>
      <c r="D3159" s="69">
        <f>台时!G168</f>
        <v>22.5208942959713</v>
      </c>
      <c r="E3159" s="69">
        <v>0.4</v>
      </c>
      <c r="F3159" s="69">
        <f t="shared" si="219"/>
        <v>9.00835771838851</v>
      </c>
    </row>
    <row r="3160" ht="17.45" customHeight="1" spans="1:6">
      <c r="A3160" s="7"/>
      <c r="B3160" s="7" t="s">
        <v>1140</v>
      </c>
      <c r="C3160" s="7" t="s">
        <v>428</v>
      </c>
      <c r="D3160" s="69">
        <f>台时!F168</f>
        <v>15.7411447945752</v>
      </c>
      <c r="E3160" s="69">
        <v>1.05</v>
      </c>
      <c r="F3160" s="69">
        <f t="shared" si="219"/>
        <v>16.5282020343039</v>
      </c>
    </row>
    <row r="3161" ht="17.45" customHeight="1" spans="1:6">
      <c r="A3161" s="7"/>
      <c r="B3161" s="7" t="s">
        <v>1141</v>
      </c>
      <c r="C3161" s="7" t="s">
        <v>428</v>
      </c>
      <c r="D3161" s="69">
        <f>台时!E84</f>
        <v>8.3371858795373</v>
      </c>
      <c r="E3161" s="69">
        <v>10</v>
      </c>
      <c r="F3161" s="69">
        <f t="shared" si="219"/>
        <v>83.371858795373</v>
      </c>
    </row>
    <row r="3162" ht="17.45" customHeight="1" spans="1:6">
      <c r="A3162" s="7"/>
      <c r="B3162" s="7" t="s">
        <v>1142</v>
      </c>
      <c r="C3162" s="7" t="s">
        <v>428</v>
      </c>
      <c r="D3162" s="69">
        <f>台时!E168</f>
        <v>69.9401890706023</v>
      </c>
      <c r="E3162" s="69">
        <v>0.4</v>
      </c>
      <c r="F3162" s="69">
        <f t="shared" si="219"/>
        <v>27.9760756282409</v>
      </c>
    </row>
    <row r="3163" ht="17.45" customHeight="1" spans="1:6">
      <c r="A3163" s="7"/>
      <c r="B3163" s="7" t="s">
        <v>1143</v>
      </c>
      <c r="C3163" s="7" t="s">
        <v>428</v>
      </c>
      <c r="D3163" s="34">
        <f>台时!H42</f>
        <v>49.389824491424</v>
      </c>
      <c r="E3163" s="69">
        <v>0.45</v>
      </c>
      <c r="F3163" s="69">
        <f t="shared" si="219"/>
        <v>22.2254210211408</v>
      </c>
    </row>
    <row r="3164" ht="17.45" customHeight="1" spans="1:6">
      <c r="A3164" s="7"/>
      <c r="B3164" s="7" t="s">
        <v>1144</v>
      </c>
      <c r="C3164" s="7" t="s">
        <v>428</v>
      </c>
      <c r="D3164" s="69">
        <f>台时!C189</f>
        <v>82.7108699641005</v>
      </c>
      <c r="E3164" s="69">
        <v>0.1</v>
      </c>
      <c r="F3164" s="69">
        <f t="shared" si="219"/>
        <v>8.27108699641005</v>
      </c>
    </row>
    <row r="3165" ht="17.45" customHeight="1" spans="1:6">
      <c r="A3165" s="7"/>
      <c r="B3165" s="7" t="s">
        <v>1145</v>
      </c>
      <c r="C3165" s="9" t="s">
        <v>845</v>
      </c>
      <c r="D3165" s="250">
        <f>SUM(F3157:F3164)</f>
        <v>234.950143877144</v>
      </c>
      <c r="E3165" s="69">
        <v>2</v>
      </c>
      <c r="F3165" s="69">
        <f>D3165*E3165/100</f>
        <v>4.69900287754288</v>
      </c>
    </row>
    <row r="3166" ht="17.45" customHeight="1" spans="1:6">
      <c r="A3166" s="7" t="s">
        <v>564</v>
      </c>
      <c r="B3166" s="7" t="s">
        <v>846</v>
      </c>
      <c r="C3166" s="230">
        <f>取费表!$C$8</f>
        <v>0.048</v>
      </c>
      <c r="D3166" s="250"/>
      <c r="E3166" s="69">
        <f>F3146</f>
        <v>3754.77158075469</v>
      </c>
      <c r="F3166" s="69">
        <f>E3166*C3166</f>
        <v>180.229035876225</v>
      </c>
    </row>
    <row r="3167" ht="17.45" customHeight="1" spans="1:6">
      <c r="A3167" s="7"/>
      <c r="B3167" s="7"/>
      <c r="C3167" s="230"/>
      <c r="D3167" s="250"/>
      <c r="E3167" s="69"/>
      <c r="F3167" s="69"/>
    </row>
    <row r="3168" ht="17.45" customHeight="1" spans="1:6">
      <c r="A3168" s="7" t="s">
        <v>439</v>
      </c>
      <c r="B3168" s="7" t="s">
        <v>847</v>
      </c>
      <c r="C3168" s="230">
        <f>取费表!$E$8</f>
        <v>0.05</v>
      </c>
      <c r="D3168" s="250"/>
      <c r="E3168" s="69">
        <f>F3145</f>
        <v>3935.00061663091</v>
      </c>
      <c r="F3168" s="69">
        <f>E3168*C3168</f>
        <v>196.750030831546</v>
      </c>
    </row>
    <row r="3169" ht="17.45" customHeight="1" spans="1:6">
      <c r="A3169" s="7" t="s">
        <v>83</v>
      </c>
      <c r="B3169" s="7" t="s">
        <v>848</v>
      </c>
      <c r="C3169" s="230">
        <f>取费表!$F$8</f>
        <v>0.07</v>
      </c>
      <c r="D3169" s="250"/>
      <c r="E3169" s="69">
        <f>F3168+F3145</f>
        <v>4131.75064746246</v>
      </c>
      <c r="F3169" s="69">
        <f>E3169*C3169</f>
        <v>289.222545322372</v>
      </c>
    </row>
    <row r="3170" s="220" customFormat="1" ht="17.45" customHeight="1" spans="1:6">
      <c r="A3170" s="5" t="s">
        <v>121</v>
      </c>
      <c r="B3170" s="5" t="s">
        <v>861</v>
      </c>
      <c r="C3170" s="275"/>
      <c r="D3170" s="276"/>
      <c r="E3170" s="5"/>
      <c r="F3170" s="277">
        <f>F3171+F3173</f>
        <v>1612.9490733</v>
      </c>
    </row>
    <row r="3171" ht="17.45" customHeight="1" spans="1:6">
      <c r="A3171" s="7">
        <v>1</v>
      </c>
      <c r="B3171" s="7" t="s">
        <v>1011</v>
      </c>
      <c r="C3171" s="9"/>
      <c r="D3171" s="34"/>
      <c r="E3171" s="7"/>
      <c r="F3171" s="69">
        <f>SUM(F3172:F3172)</f>
        <v>1588.6682733</v>
      </c>
    </row>
    <row r="3172" ht="17.45" customHeight="1" spans="1:6">
      <c r="A3172" s="7"/>
      <c r="B3172" s="7" t="s">
        <v>1135</v>
      </c>
      <c r="C3172" s="7" t="s">
        <v>200</v>
      </c>
      <c r="D3172" s="34">
        <f>材料预算价!K4-材料预算价!L4</f>
        <v>1557.517915</v>
      </c>
      <c r="E3172" s="38">
        <f>E3151</f>
        <v>1.02</v>
      </c>
      <c r="F3172" s="69">
        <f>D3172*E3172</f>
        <v>1588.6682733</v>
      </c>
    </row>
    <row r="3173" ht="17.45" customHeight="1" spans="1:6">
      <c r="A3173" s="7">
        <v>2</v>
      </c>
      <c r="B3173" s="7" t="s">
        <v>1013</v>
      </c>
      <c r="C3173" s="7"/>
      <c r="D3173" s="34"/>
      <c r="E3173" s="38"/>
      <c r="F3173" s="69">
        <f>SUM(F3174:F3175)</f>
        <v>24.2808</v>
      </c>
    </row>
    <row r="3174" ht="17.45" customHeight="1" spans="1:6">
      <c r="A3174" s="7"/>
      <c r="B3174" s="7" t="s">
        <v>1014</v>
      </c>
      <c r="C3174" s="7" t="s">
        <v>863</v>
      </c>
      <c r="D3174" s="34">
        <f>材料预算价!K12-材料预算价!L12</f>
        <v>5.925</v>
      </c>
      <c r="E3174" s="38">
        <f>(E3163*7.2)</f>
        <v>3.24</v>
      </c>
      <c r="F3174" s="69">
        <f>D3174*E3174</f>
        <v>19.197</v>
      </c>
    </row>
    <row r="3175" ht="17.45" customHeight="1" spans="1:6">
      <c r="A3175" s="7"/>
      <c r="B3175" s="7" t="s">
        <v>862</v>
      </c>
      <c r="C3175" s="9" t="s">
        <v>863</v>
      </c>
      <c r="D3175" s="34">
        <f>材料预算价!K11-材料预算价!L11</f>
        <v>4.58</v>
      </c>
      <c r="E3175" s="38">
        <f>(E3164*11.1)</f>
        <v>1.11</v>
      </c>
      <c r="F3175" s="69">
        <f>D3175*E3175</f>
        <v>5.0838</v>
      </c>
    </row>
    <row r="3176" ht="17.45" customHeight="1" spans="1:6">
      <c r="A3176" s="7" t="s">
        <v>135</v>
      </c>
      <c r="B3176" s="7" t="s">
        <v>849</v>
      </c>
      <c r="C3176" s="231">
        <f>C3057</f>
        <v>0.09</v>
      </c>
      <c r="D3176" s="34"/>
      <c r="E3176" s="34">
        <f>F3170+F3169+F3168+F3145</f>
        <v>6033.92226608483</v>
      </c>
      <c r="F3176" s="34">
        <f>E3176*C3176</f>
        <v>543.053003947634</v>
      </c>
    </row>
    <row r="3177" ht="17.45" customHeight="1" spans="1:6">
      <c r="A3177" s="7"/>
      <c r="B3177" s="7" t="s">
        <v>850</v>
      </c>
      <c r="C3177" s="231"/>
      <c r="D3177" s="34"/>
      <c r="E3177" s="34"/>
      <c r="F3177" s="34">
        <f>(F3145+F3168+F3169+F3170+F3176)*取费表!H8</f>
        <v>197.309258100974</v>
      </c>
    </row>
    <row r="3178" ht="21.75" customHeight="1" spans="1:6">
      <c r="A3178" s="7"/>
      <c r="B3178" s="7" t="s">
        <v>156</v>
      </c>
      <c r="C3178" s="7"/>
      <c r="D3178" s="34"/>
      <c r="E3178" s="34"/>
      <c r="F3178" s="34">
        <f>F3176+E3176+F3177</f>
        <v>6774.28452813344</v>
      </c>
    </row>
    <row r="3179" ht="15.95" customHeight="1" spans="1:6">
      <c r="A3179" s="248" t="s">
        <v>881</v>
      </c>
      <c r="B3179" s="225"/>
      <c r="C3179" s="225"/>
      <c r="D3179" s="225"/>
      <c r="E3179" s="225"/>
      <c r="F3179" s="225"/>
    </row>
    <row r="3180" ht="15.95" customHeight="1" spans="1:6">
      <c r="A3180" s="271" t="s">
        <v>1146</v>
      </c>
      <c r="B3180" s="271"/>
      <c r="C3180" s="271"/>
      <c r="D3180" s="271"/>
      <c r="E3180" s="271"/>
      <c r="F3180" s="271"/>
    </row>
    <row r="3181" ht="15.95" customHeight="1" spans="1:6">
      <c r="A3181" s="228" t="s">
        <v>1147</v>
      </c>
      <c r="B3181" s="228"/>
      <c r="C3181" s="229"/>
      <c r="D3181" s="229"/>
      <c r="E3181" s="228" t="s">
        <v>1148</v>
      </c>
      <c r="F3181" s="228"/>
    </row>
    <row r="3182" ht="15.95" customHeight="1" spans="1:6">
      <c r="A3182" s="146" t="s">
        <v>911</v>
      </c>
      <c r="B3182" s="233"/>
      <c r="C3182" s="233"/>
      <c r="D3182" s="233"/>
      <c r="E3182" s="233"/>
      <c r="F3182" s="147"/>
    </row>
    <row r="3183" ht="15.95" customHeight="1" spans="1:6">
      <c r="A3183" s="7" t="s">
        <v>104</v>
      </c>
      <c r="B3183" s="7" t="s">
        <v>835</v>
      </c>
      <c r="C3183" s="7" t="s">
        <v>159</v>
      </c>
      <c r="D3183" s="7" t="s">
        <v>422</v>
      </c>
      <c r="E3183" s="7" t="s">
        <v>160</v>
      </c>
      <c r="F3183" s="7" t="s">
        <v>18</v>
      </c>
    </row>
    <row r="3184" ht="15.95" customHeight="1" spans="1:6">
      <c r="A3184" s="7" t="s">
        <v>836</v>
      </c>
      <c r="B3184" s="7" t="s">
        <v>837</v>
      </c>
      <c r="C3184" s="7"/>
      <c r="D3184" s="7"/>
      <c r="E3184" s="7"/>
      <c r="F3184" s="34">
        <f>F3185+F3193+F3194</f>
        <v>9900.40098</v>
      </c>
    </row>
    <row r="3185" ht="15.95" customHeight="1" spans="1:6">
      <c r="A3185" s="7" t="s">
        <v>539</v>
      </c>
      <c r="B3185" s="7" t="s">
        <v>838</v>
      </c>
      <c r="C3185" s="7"/>
      <c r="D3185" s="7"/>
      <c r="E3185" s="7"/>
      <c r="F3185" s="247">
        <f>F3186+F3189</f>
        <v>9446.9475</v>
      </c>
    </row>
    <row r="3186" ht="15.95" customHeight="1" spans="1:6">
      <c r="A3186" s="7">
        <v>1</v>
      </c>
      <c r="B3186" s="7" t="s">
        <v>839</v>
      </c>
      <c r="C3186" s="7" t="s">
        <v>840</v>
      </c>
      <c r="D3186" s="34"/>
      <c r="E3186" s="42">
        <f>SUM(E3187:E3188)</f>
        <v>156.1</v>
      </c>
      <c r="F3186" s="69">
        <f>SUM(F3187:F3188)</f>
        <v>1160.958</v>
      </c>
    </row>
    <row r="3187" ht="15.95" customHeight="1" spans="1:6">
      <c r="A3187" s="7"/>
      <c r="B3187" s="7" t="s">
        <v>841</v>
      </c>
      <c r="C3187" s="7" t="s">
        <v>840</v>
      </c>
      <c r="D3187" s="69">
        <f>D3148</f>
        <v>8.1</v>
      </c>
      <c r="E3187" s="42">
        <v>111.7</v>
      </c>
      <c r="F3187" s="69">
        <f>D3187*E3187</f>
        <v>904.77</v>
      </c>
    </row>
    <row r="3188" ht="15.95" customHeight="1" spans="1:6">
      <c r="A3188" s="7"/>
      <c r="B3188" s="7" t="s">
        <v>842</v>
      </c>
      <c r="C3188" s="7" t="s">
        <v>840</v>
      </c>
      <c r="D3188" s="69">
        <f>D3149</f>
        <v>5.77</v>
      </c>
      <c r="E3188" s="42">
        <v>44.4</v>
      </c>
      <c r="F3188" s="69">
        <f>D3188*E3188</f>
        <v>256.188</v>
      </c>
    </row>
    <row r="3189" ht="15.95" customHeight="1" spans="1:6">
      <c r="A3189" s="7">
        <v>2</v>
      </c>
      <c r="B3189" s="7" t="s">
        <v>912</v>
      </c>
      <c r="C3189" s="9"/>
      <c r="D3189" s="34"/>
      <c r="E3189" s="34"/>
      <c r="F3189" s="34">
        <f>SUM(F3190:F3191)</f>
        <v>8285.9895</v>
      </c>
    </row>
    <row r="3190" ht="15.95" customHeight="1" spans="1:6">
      <c r="A3190" s="7"/>
      <c r="B3190" s="300" t="s">
        <v>1149</v>
      </c>
      <c r="C3190" s="9" t="s">
        <v>167</v>
      </c>
      <c r="D3190" s="34">
        <v>79.65</v>
      </c>
      <c r="E3190" s="34">
        <v>103</v>
      </c>
      <c r="F3190" s="34">
        <f>D3190*E3190</f>
        <v>8203.95</v>
      </c>
    </row>
    <row r="3191" ht="15.95" customHeight="1" spans="1:6">
      <c r="A3191" s="7"/>
      <c r="B3191" s="7" t="s">
        <v>1004</v>
      </c>
      <c r="C3191" s="9" t="s">
        <v>845</v>
      </c>
      <c r="D3191" s="254">
        <f>SUM(F3190:F3190)</f>
        <v>8203.95</v>
      </c>
      <c r="E3191" s="51">
        <v>0.01</v>
      </c>
      <c r="F3191" s="34">
        <f>D3191*E3191</f>
        <v>82.0395</v>
      </c>
    </row>
    <row r="3192" ht="15.95" customHeight="1" spans="1:6">
      <c r="A3192" s="7">
        <v>3</v>
      </c>
      <c r="B3192" s="7" t="s">
        <v>859</v>
      </c>
      <c r="C3192" s="9"/>
      <c r="D3192" s="34"/>
      <c r="E3192" s="34"/>
      <c r="F3192" s="34">
        <v>0</v>
      </c>
    </row>
    <row r="3193" ht="15.95" customHeight="1" spans="1:6">
      <c r="A3193" s="7" t="s">
        <v>564</v>
      </c>
      <c r="B3193" s="7" t="s">
        <v>846</v>
      </c>
      <c r="C3193" s="230">
        <f>C3214</f>
        <v>0.048</v>
      </c>
      <c r="D3193" s="34"/>
      <c r="E3193" s="34">
        <f>F3185</f>
        <v>9446.9475</v>
      </c>
      <c r="F3193" s="34">
        <f>E3193*C3193</f>
        <v>453.45348</v>
      </c>
    </row>
    <row r="3194" ht="15.95" customHeight="1" spans="1:6">
      <c r="A3194" s="7"/>
      <c r="B3194" s="7"/>
      <c r="C3194" s="230"/>
      <c r="D3194" s="34"/>
      <c r="E3194" s="34"/>
      <c r="F3194" s="34"/>
    </row>
    <row r="3195" ht="15.95" customHeight="1" spans="1:6">
      <c r="A3195" s="7" t="s">
        <v>439</v>
      </c>
      <c r="B3195" s="7" t="s">
        <v>847</v>
      </c>
      <c r="C3195" s="230">
        <f>C3216</f>
        <v>0.07</v>
      </c>
      <c r="D3195" s="34"/>
      <c r="E3195" s="34">
        <f>F3184</f>
        <v>9900.40098</v>
      </c>
      <c r="F3195" s="34">
        <f>E3195*C3195</f>
        <v>693.0280686</v>
      </c>
    </row>
    <row r="3196" ht="15.95" customHeight="1" spans="1:6">
      <c r="A3196" s="7" t="s">
        <v>83</v>
      </c>
      <c r="B3196" s="7" t="s">
        <v>848</v>
      </c>
      <c r="C3196" s="230">
        <f>C3217</f>
        <v>0.07</v>
      </c>
      <c r="D3196" s="34"/>
      <c r="E3196" s="34">
        <f>F3195+F3184</f>
        <v>10593.4290486</v>
      </c>
      <c r="F3196" s="34">
        <f>E3196*C3196</f>
        <v>741.540033402</v>
      </c>
    </row>
    <row r="3197" ht="15.95" customHeight="1" spans="1:6">
      <c r="A3197" s="7" t="s">
        <v>121</v>
      </c>
      <c r="B3197" s="7" t="s">
        <v>849</v>
      </c>
      <c r="C3197" s="230">
        <f>C3218</f>
        <v>0.09</v>
      </c>
      <c r="D3197" s="34"/>
      <c r="E3197" s="34">
        <f>F3196+F3195+F3184</f>
        <v>11334.969082002</v>
      </c>
      <c r="F3197" s="34">
        <f>E3197*C3197</f>
        <v>1020.14721738018</v>
      </c>
    </row>
    <row r="3198" ht="15.95" customHeight="1" spans="1:6">
      <c r="A3198" s="7"/>
      <c r="B3198" s="7" t="s">
        <v>850</v>
      </c>
      <c r="C3198" s="231"/>
      <c r="D3198" s="34"/>
      <c r="E3198" s="34"/>
      <c r="F3198" s="34">
        <f>(F3184+F3195+F3196+F3197)*取费表!H12</f>
        <v>370.653488981465</v>
      </c>
    </row>
    <row r="3199" ht="15.95" customHeight="1" spans="1:6">
      <c r="A3199" s="7"/>
      <c r="B3199" s="7" t="s">
        <v>156</v>
      </c>
      <c r="C3199" s="7"/>
      <c r="D3199" s="34"/>
      <c r="E3199" s="34"/>
      <c r="F3199" s="34">
        <f>F3197+E3197+F3198</f>
        <v>12725.7697883636</v>
      </c>
    </row>
    <row r="3200" ht="15.95" customHeight="1" spans="1:6">
      <c r="A3200" s="248" t="s">
        <v>881</v>
      </c>
      <c r="B3200" s="225"/>
      <c r="C3200" s="225"/>
      <c r="D3200" s="225"/>
      <c r="E3200" s="225"/>
      <c r="F3200" s="225"/>
    </row>
    <row r="3201" ht="15.95" customHeight="1" spans="1:6">
      <c r="A3201" s="271" t="s">
        <v>1150</v>
      </c>
      <c r="B3201" s="271"/>
      <c r="C3201" s="271"/>
      <c r="D3201" s="271"/>
      <c r="E3201" s="271"/>
      <c r="F3201" s="271"/>
    </row>
    <row r="3202" ht="15.95" customHeight="1" spans="1:6">
      <c r="A3202" s="228" t="s">
        <v>1147</v>
      </c>
      <c r="B3202" s="228"/>
      <c r="C3202" s="229"/>
      <c r="D3202" s="229"/>
      <c r="E3202" s="228" t="s">
        <v>1148</v>
      </c>
      <c r="F3202" s="228"/>
    </row>
    <row r="3203" ht="15.95" customHeight="1" spans="1:6">
      <c r="A3203" s="146" t="s">
        <v>911</v>
      </c>
      <c r="B3203" s="233"/>
      <c r="C3203" s="233"/>
      <c r="D3203" s="233"/>
      <c r="E3203" s="233"/>
      <c r="F3203" s="147"/>
    </row>
    <row r="3204" ht="15.95" customHeight="1" spans="1:6">
      <c r="A3204" s="7" t="s">
        <v>104</v>
      </c>
      <c r="B3204" s="7" t="s">
        <v>835</v>
      </c>
      <c r="C3204" s="7" t="s">
        <v>159</v>
      </c>
      <c r="D3204" s="7" t="s">
        <v>422</v>
      </c>
      <c r="E3204" s="7" t="s">
        <v>160</v>
      </c>
      <c r="F3204" s="7" t="s">
        <v>18</v>
      </c>
    </row>
    <row r="3205" ht="15.95" customHeight="1" spans="1:6">
      <c r="A3205" s="7" t="s">
        <v>836</v>
      </c>
      <c r="B3205" s="7" t="s">
        <v>837</v>
      </c>
      <c r="C3205" s="7"/>
      <c r="D3205" s="7"/>
      <c r="E3205" s="7"/>
      <c r="F3205" s="34">
        <f>F3206+F3214+F3215</f>
        <v>9417.4271408</v>
      </c>
    </row>
    <row r="3206" ht="15.95" customHeight="1" spans="1:6">
      <c r="A3206" s="7" t="s">
        <v>539</v>
      </c>
      <c r="B3206" s="7" t="s">
        <v>838</v>
      </c>
      <c r="C3206" s="7"/>
      <c r="D3206" s="7"/>
      <c r="E3206" s="7"/>
      <c r="F3206" s="247">
        <f>F3207+F3210</f>
        <v>8986.0946</v>
      </c>
    </row>
    <row r="3207" ht="15.95" customHeight="1" spans="1:6">
      <c r="A3207" s="7">
        <v>1</v>
      </c>
      <c r="B3207" s="7" t="s">
        <v>839</v>
      </c>
      <c r="C3207" s="7" t="s">
        <v>840</v>
      </c>
      <c r="D3207" s="34"/>
      <c r="E3207" s="42">
        <f>SUM(E3208:E3209)</f>
        <v>156.1</v>
      </c>
      <c r="F3207" s="69">
        <f>SUM(F3208:F3209)</f>
        <v>1160.958</v>
      </c>
    </row>
    <row r="3208" s="217" customFormat="1" ht="15.95" customHeight="1" spans="1:6">
      <c r="A3208" s="7"/>
      <c r="B3208" s="7" t="s">
        <v>841</v>
      </c>
      <c r="C3208" s="7" t="s">
        <v>840</v>
      </c>
      <c r="D3208" s="69">
        <f>D3148</f>
        <v>8.1</v>
      </c>
      <c r="E3208" s="42">
        <v>111.7</v>
      </c>
      <c r="F3208" s="69">
        <f>D3208*E3208</f>
        <v>904.77</v>
      </c>
    </row>
    <row r="3209" s="217" customFormat="1" ht="15.95" customHeight="1" spans="1:6">
      <c r="A3209" s="7"/>
      <c r="B3209" s="7" t="s">
        <v>842</v>
      </c>
      <c r="C3209" s="7" t="s">
        <v>840</v>
      </c>
      <c r="D3209" s="69">
        <f>D3149</f>
        <v>5.77</v>
      </c>
      <c r="E3209" s="42">
        <v>44.4</v>
      </c>
      <c r="F3209" s="69">
        <f>D3209*E3209</f>
        <v>256.188</v>
      </c>
    </row>
    <row r="3210" ht="15.95" customHeight="1" spans="1:6">
      <c r="A3210" s="7">
        <v>2</v>
      </c>
      <c r="B3210" s="7" t="s">
        <v>912</v>
      </c>
      <c r="C3210" s="9"/>
      <c r="D3210" s="34"/>
      <c r="E3210" s="34"/>
      <c r="F3210" s="34">
        <f>SUM(F3211:F3212)</f>
        <v>7825.1366</v>
      </c>
    </row>
    <row r="3211" ht="15.95" customHeight="1" spans="1:6">
      <c r="A3211" s="7"/>
      <c r="B3211" s="273" t="s">
        <v>1151</v>
      </c>
      <c r="C3211" s="9" t="s">
        <v>167</v>
      </c>
      <c r="D3211" s="34">
        <v>75.22</v>
      </c>
      <c r="E3211" s="34">
        <v>103</v>
      </c>
      <c r="F3211" s="34">
        <f>D3211*E3211</f>
        <v>7747.66</v>
      </c>
    </row>
    <row r="3212" ht="15.95" customHeight="1" spans="1:6">
      <c r="A3212" s="7"/>
      <c r="B3212" s="7" t="s">
        <v>1004</v>
      </c>
      <c r="C3212" s="9" t="s">
        <v>845</v>
      </c>
      <c r="D3212" s="254">
        <f>SUM(F3211:F3211)</f>
        <v>7747.66</v>
      </c>
      <c r="E3212" s="51">
        <v>0.01</v>
      </c>
      <c r="F3212" s="34">
        <f>D3212*E3212</f>
        <v>77.4766</v>
      </c>
    </row>
    <row r="3213" ht="15.95" customHeight="1" spans="1:6">
      <c r="A3213" s="7">
        <v>3</v>
      </c>
      <c r="B3213" s="7" t="s">
        <v>859</v>
      </c>
      <c r="C3213" s="9"/>
      <c r="D3213" s="34"/>
      <c r="E3213" s="34"/>
      <c r="F3213" s="34">
        <v>0</v>
      </c>
    </row>
    <row r="3214" ht="15.95" customHeight="1" spans="1:6">
      <c r="A3214" s="7" t="s">
        <v>564</v>
      </c>
      <c r="B3214" s="7" t="s">
        <v>846</v>
      </c>
      <c r="C3214" s="230">
        <f>取费表!$C$7</f>
        <v>0.048</v>
      </c>
      <c r="D3214" s="34"/>
      <c r="E3214" s="34">
        <f>F3206</f>
        <v>8986.0946</v>
      </c>
      <c r="F3214" s="34">
        <f>E3214*C3214</f>
        <v>431.3325408</v>
      </c>
    </row>
    <row r="3215" ht="15.95" customHeight="1" spans="1:6">
      <c r="A3215" s="7"/>
      <c r="B3215" s="7"/>
      <c r="C3215" s="230"/>
      <c r="D3215" s="34"/>
      <c r="E3215" s="34"/>
      <c r="F3215" s="34"/>
    </row>
    <row r="3216" ht="15.95" customHeight="1" spans="1:6">
      <c r="A3216" s="7" t="s">
        <v>439</v>
      </c>
      <c r="B3216" s="7" t="s">
        <v>847</v>
      </c>
      <c r="C3216" s="230">
        <f>取费表!$E$7</f>
        <v>0.07</v>
      </c>
      <c r="D3216" s="34"/>
      <c r="E3216" s="34">
        <f>F3205</f>
        <v>9417.4271408</v>
      </c>
      <c r="F3216" s="34">
        <f>E3216*C3216</f>
        <v>659.219899856</v>
      </c>
    </row>
    <row r="3217" ht="15.95" customHeight="1" spans="1:6">
      <c r="A3217" s="7" t="s">
        <v>83</v>
      </c>
      <c r="B3217" s="7" t="s">
        <v>848</v>
      </c>
      <c r="C3217" s="230">
        <f>取费表!$F$7</f>
        <v>0.07</v>
      </c>
      <c r="D3217" s="34"/>
      <c r="E3217" s="34">
        <f>F3216+F3205</f>
        <v>10076.647040656</v>
      </c>
      <c r="F3217" s="34">
        <f>E3217*C3217</f>
        <v>705.36529284592</v>
      </c>
    </row>
    <row r="3218" ht="15.95" customHeight="1" spans="1:6">
      <c r="A3218" s="7" t="s">
        <v>121</v>
      </c>
      <c r="B3218" s="7" t="s">
        <v>849</v>
      </c>
      <c r="C3218" s="231">
        <f>C3176</f>
        <v>0.09</v>
      </c>
      <c r="D3218" s="34"/>
      <c r="E3218" s="34">
        <f>F3217+F3216+F3205</f>
        <v>10782.0123335019</v>
      </c>
      <c r="F3218" s="34">
        <f>E3218*C3218</f>
        <v>970.381110015173</v>
      </c>
    </row>
    <row r="3219" ht="15.95" customHeight="1" spans="1:6">
      <c r="A3219" s="7"/>
      <c r="B3219" s="7" t="s">
        <v>850</v>
      </c>
      <c r="C3219" s="231"/>
      <c r="D3219" s="34"/>
      <c r="E3219" s="34"/>
      <c r="F3219" s="34">
        <f>(F3205+F3216+F3217+F3218)*取费表!H4</f>
        <v>352.571803305513</v>
      </c>
    </row>
    <row r="3220" ht="15.95" customHeight="1" spans="1:6">
      <c r="A3220" s="7"/>
      <c r="B3220" s="7" t="s">
        <v>156</v>
      </c>
      <c r="C3220" s="7"/>
      <c r="D3220" s="34"/>
      <c r="E3220" s="34"/>
      <c r="F3220" s="34">
        <f>F3218+E3218+F3219</f>
        <v>12104.9652468226</v>
      </c>
    </row>
    <row r="3221" ht="15.95" customHeight="1" spans="1:6">
      <c r="A3221" s="96"/>
      <c r="B3221" s="96"/>
      <c r="C3221" s="96"/>
      <c r="D3221" s="302"/>
      <c r="E3221" s="302"/>
      <c r="F3221" s="302"/>
    </row>
    <row r="3222" ht="14.1" customHeight="1" spans="1:12">
      <c r="A3222" s="248" t="s">
        <v>881</v>
      </c>
      <c r="B3222" s="225"/>
      <c r="C3222" s="225"/>
      <c r="D3222" s="225"/>
      <c r="E3222" s="225"/>
      <c r="F3222" s="225"/>
      <c r="G3222" s="303" t="s">
        <v>1152</v>
      </c>
      <c r="H3222" s="303"/>
      <c r="I3222" s="303"/>
      <c r="J3222" s="303"/>
      <c r="K3222" s="303"/>
      <c r="L3222" s="303"/>
    </row>
    <row r="3223" ht="14.1" customHeight="1" spans="1:12">
      <c r="A3223" s="249" t="s">
        <v>1153</v>
      </c>
      <c r="B3223" s="229"/>
      <c r="C3223" s="229"/>
      <c r="D3223" s="229"/>
      <c r="E3223" s="229"/>
      <c r="F3223" s="229"/>
      <c r="G3223" s="304" t="s">
        <v>1154</v>
      </c>
      <c r="H3223" s="305"/>
      <c r="I3223" s="305"/>
      <c r="J3223" s="305"/>
      <c r="K3223" s="305"/>
      <c r="L3223" s="305"/>
    </row>
    <row r="3224" ht="14.1" customHeight="1" spans="1:12">
      <c r="A3224" s="228" t="s">
        <v>1155</v>
      </c>
      <c r="B3224" s="228"/>
      <c r="C3224" s="229"/>
      <c r="D3224" s="229"/>
      <c r="E3224" s="228" t="s">
        <v>857</v>
      </c>
      <c r="F3224" s="228"/>
      <c r="G3224" s="306" t="s">
        <v>1156</v>
      </c>
      <c r="H3224" s="306"/>
      <c r="I3224" s="305"/>
      <c r="J3224" s="305"/>
      <c r="K3224" s="306" t="s">
        <v>1157</v>
      </c>
      <c r="L3224" s="306"/>
    </row>
    <row r="3225" ht="14.1" customHeight="1" spans="1:12">
      <c r="A3225" s="146" t="s">
        <v>1158</v>
      </c>
      <c r="B3225" s="233"/>
      <c r="C3225" s="233"/>
      <c r="D3225" s="233"/>
      <c r="E3225" s="233"/>
      <c r="F3225" s="147"/>
      <c r="G3225" s="307" t="s">
        <v>959</v>
      </c>
      <c r="H3225" s="308"/>
      <c r="I3225" s="308"/>
      <c r="J3225" s="308"/>
      <c r="K3225" s="308"/>
      <c r="L3225" s="312"/>
    </row>
    <row r="3226" ht="14.1" customHeight="1" spans="1:12">
      <c r="A3226" s="7" t="s">
        <v>104</v>
      </c>
      <c r="B3226" s="7" t="s">
        <v>835</v>
      </c>
      <c r="C3226" s="7" t="s">
        <v>159</v>
      </c>
      <c r="D3226" s="7" t="s">
        <v>422</v>
      </c>
      <c r="E3226" s="7" t="s">
        <v>160</v>
      </c>
      <c r="F3226" s="7" t="s">
        <v>18</v>
      </c>
      <c r="G3226" s="309" t="s">
        <v>104</v>
      </c>
      <c r="H3226" s="309" t="s">
        <v>835</v>
      </c>
      <c r="I3226" s="309" t="s">
        <v>159</v>
      </c>
      <c r="J3226" s="309" t="s">
        <v>422</v>
      </c>
      <c r="K3226" s="309" t="s">
        <v>160</v>
      </c>
      <c r="L3226" s="309" t="s">
        <v>18</v>
      </c>
    </row>
    <row r="3227" ht="14.1" customHeight="1" spans="1:12">
      <c r="A3227" s="7" t="s">
        <v>836</v>
      </c>
      <c r="B3227" s="7" t="s">
        <v>837</v>
      </c>
      <c r="C3227" s="7"/>
      <c r="D3227" s="7"/>
      <c r="E3227" s="7"/>
      <c r="F3227" s="34">
        <f>F3228+F3238+F3239</f>
        <v>1239.8933367656</v>
      </c>
      <c r="G3227" s="309" t="s">
        <v>1105</v>
      </c>
      <c r="H3227" s="309" t="s">
        <v>837</v>
      </c>
      <c r="I3227" s="309"/>
      <c r="J3227" s="309"/>
      <c r="K3227" s="309"/>
      <c r="L3227" s="313">
        <f>L3228+L3239</f>
        <v>16953.131296</v>
      </c>
    </row>
    <row r="3228" ht="14.1" customHeight="1" spans="1:12">
      <c r="A3228" s="7" t="s">
        <v>539</v>
      </c>
      <c r="B3228" s="7" t="s">
        <v>838</v>
      </c>
      <c r="C3228" s="7"/>
      <c r="D3228" s="7"/>
      <c r="E3228" s="7"/>
      <c r="F3228" s="34">
        <f>F3229+F3232+F3236</f>
        <v>1183.10432897481</v>
      </c>
      <c r="G3228" s="309" t="s">
        <v>539</v>
      </c>
      <c r="H3228" s="309" t="s">
        <v>838</v>
      </c>
      <c r="I3228" s="309"/>
      <c r="J3228" s="309"/>
      <c r="K3228" s="309"/>
      <c r="L3228" s="313">
        <f>L3229+L3232+L3238</f>
        <v>16176.652</v>
      </c>
    </row>
    <row r="3229" ht="14.1" customHeight="1" spans="1:12">
      <c r="A3229" s="7">
        <v>1</v>
      </c>
      <c r="B3229" s="7" t="s">
        <v>839</v>
      </c>
      <c r="C3229" s="7" t="s">
        <v>840</v>
      </c>
      <c r="D3229" s="297"/>
      <c r="E3229" s="42">
        <f>SUM(E3230:E3231)</f>
        <v>93.8</v>
      </c>
      <c r="F3229" s="69">
        <f>SUM(F3230:F3231)</f>
        <v>697.569</v>
      </c>
      <c r="G3229" s="309">
        <v>1</v>
      </c>
      <c r="H3229" s="309" t="s">
        <v>839</v>
      </c>
      <c r="I3229" s="309" t="s">
        <v>840</v>
      </c>
      <c r="J3229" s="314"/>
      <c r="K3229" s="315">
        <f>SUM(K3230:K3231)</f>
        <v>384.3</v>
      </c>
      <c r="L3229" s="316">
        <f>SUM(L3230:L3231)</f>
        <v>2857.928</v>
      </c>
    </row>
    <row r="3230" s="217" customFormat="1" ht="14.1" customHeight="1" spans="1:12">
      <c r="A3230" s="7"/>
      <c r="B3230" s="7" t="s">
        <v>841</v>
      </c>
      <c r="C3230" s="7" t="s">
        <v>840</v>
      </c>
      <c r="D3230" s="69">
        <f>D3208</f>
        <v>8.1</v>
      </c>
      <c r="E3230" s="42">
        <v>67.1</v>
      </c>
      <c r="F3230" s="69">
        <f>D3230*E3230</f>
        <v>543.51</v>
      </c>
      <c r="G3230" s="309"/>
      <c r="H3230" s="309" t="s">
        <v>841</v>
      </c>
      <c r="I3230" s="309" t="s">
        <v>840</v>
      </c>
      <c r="J3230" s="316">
        <f>D3230</f>
        <v>8.1</v>
      </c>
      <c r="K3230" s="315">
        <v>274.9</v>
      </c>
      <c r="L3230" s="316">
        <f t="shared" ref="L3230:L3236" si="220">J3230*K3230</f>
        <v>2226.69</v>
      </c>
    </row>
    <row r="3231" s="217" customFormat="1" ht="14.1" customHeight="1" spans="1:12">
      <c r="A3231" s="7"/>
      <c r="B3231" s="7" t="s">
        <v>842</v>
      </c>
      <c r="C3231" s="7" t="s">
        <v>840</v>
      </c>
      <c r="D3231" s="69">
        <f>D3209</f>
        <v>5.77</v>
      </c>
      <c r="E3231" s="42">
        <v>26.7</v>
      </c>
      <c r="F3231" s="69">
        <f>D3231*E3231</f>
        <v>154.059</v>
      </c>
      <c r="G3231" s="309"/>
      <c r="H3231" s="309" t="s">
        <v>842</v>
      </c>
      <c r="I3231" s="309" t="s">
        <v>840</v>
      </c>
      <c r="J3231" s="316">
        <f>D3231</f>
        <v>5.77</v>
      </c>
      <c r="K3231" s="315">
        <v>109.4</v>
      </c>
      <c r="L3231" s="316">
        <f t="shared" si="220"/>
        <v>631.238</v>
      </c>
    </row>
    <row r="3232" ht="14.1" customHeight="1" spans="1:12">
      <c r="A3232" s="7">
        <v>2</v>
      </c>
      <c r="B3232" s="7" t="s">
        <v>912</v>
      </c>
      <c r="C3232" s="279"/>
      <c r="D3232" s="7"/>
      <c r="E3232" s="7"/>
      <c r="F3232" s="69">
        <f>SUM(F3233:F3235)</f>
        <v>480.00527712</v>
      </c>
      <c r="G3232" s="309">
        <v>2</v>
      </c>
      <c r="H3232" s="309" t="s">
        <v>912</v>
      </c>
      <c r="I3232" s="311"/>
      <c r="J3232" s="309"/>
      <c r="K3232" s="309"/>
      <c r="L3232" s="316">
        <f>SUM(L3233:L3237)</f>
        <v>13318.724</v>
      </c>
    </row>
    <row r="3233" ht="14.1" customHeight="1" spans="1:12">
      <c r="A3233" s="7"/>
      <c r="B3233" s="279" t="s">
        <v>977</v>
      </c>
      <c r="C3233" s="310" t="s">
        <v>776</v>
      </c>
      <c r="D3233" s="69">
        <f>配合比!M15</f>
        <v>144.54347</v>
      </c>
      <c r="E3233" s="7">
        <v>3.2</v>
      </c>
      <c r="F3233" s="69">
        <f>D3233*E3233</f>
        <v>462.539104</v>
      </c>
      <c r="G3233" s="309"/>
      <c r="H3233" s="311" t="s">
        <v>1159</v>
      </c>
      <c r="I3233" s="311" t="s">
        <v>200</v>
      </c>
      <c r="J3233" s="316">
        <v>3827</v>
      </c>
      <c r="K3233" s="309">
        <v>0.87</v>
      </c>
      <c r="L3233" s="316">
        <f t="shared" si="220"/>
        <v>3329.49</v>
      </c>
    </row>
    <row r="3234" ht="14.1" customHeight="1" spans="1:12">
      <c r="A3234" s="7"/>
      <c r="B3234" s="7" t="s">
        <v>913</v>
      </c>
      <c r="C3234" s="7" t="s">
        <v>169</v>
      </c>
      <c r="D3234" s="69">
        <f>材料预算价!K13</f>
        <v>3.59</v>
      </c>
      <c r="E3234" s="34">
        <v>1</v>
      </c>
      <c r="F3234" s="34">
        <f>D3234*E3234</f>
        <v>3.59</v>
      </c>
      <c r="G3234" s="309"/>
      <c r="H3234" s="311" t="s">
        <v>1160</v>
      </c>
      <c r="I3234" s="311" t="s">
        <v>200</v>
      </c>
      <c r="J3234" s="316">
        <f>J3233</f>
        <v>3827</v>
      </c>
      <c r="K3234" s="313">
        <v>1.73</v>
      </c>
      <c r="L3234" s="313">
        <f t="shared" si="220"/>
        <v>6620.71</v>
      </c>
    </row>
    <row r="3235" ht="14.1" customHeight="1" spans="1:12">
      <c r="A3235" s="7"/>
      <c r="B3235" s="7" t="s">
        <v>952</v>
      </c>
      <c r="C3235" s="9" t="s">
        <v>845</v>
      </c>
      <c r="D3235" s="69">
        <f>SUM(F3233:F3233)</f>
        <v>462.539104</v>
      </c>
      <c r="E3235" s="7">
        <v>3</v>
      </c>
      <c r="F3235" s="69">
        <f>D3235*E3235/100</f>
        <v>13.87617312</v>
      </c>
      <c r="G3235" s="309"/>
      <c r="H3235" s="311" t="s">
        <v>1161</v>
      </c>
      <c r="I3235" s="311" t="s">
        <v>200</v>
      </c>
      <c r="J3235" s="316">
        <v>500</v>
      </c>
      <c r="K3235" s="313">
        <v>0.91</v>
      </c>
      <c r="L3235" s="313">
        <f t="shared" si="220"/>
        <v>455</v>
      </c>
    </row>
    <row r="3236" ht="14.1" customHeight="1" spans="1:12">
      <c r="A3236" s="7">
        <v>3</v>
      </c>
      <c r="B3236" s="7" t="s">
        <v>859</v>
      </c>
      <c r="C3236" s="7"/>
      <c r="D3236" s="7"/>
      <c r="E3236" s="7"/>
      <c r="F3236" s="69">
        <f>SUM(F3237:F3237)</f>
        <v>5.53005185480654</v>
      </c>
      <c r="G3236" s="309"/>
      <c r="H3236" s="311" t="s">
        <v>1162</v>
      </c>
      <c r="I3236" s="311" t="s">
        <v>200</v>
      </c>
      <c r="J3236" s="316">
        <v>5740</v>
      </c>
      <c r="K3236" s="313">
        <v>0.44</v>
      </c>
      <c r="L3236" s="313">
        <f t="shared" si="220"/>
        <v>2525.6</v>
      </c>
    </row>
    <row r="3237" ht="14.1" customHeight="1" spans="1:12">
      <c r="A3237" s="7"/>
      <c r="B3237" s="7" t="s">
        <v>967</v>
      </c>
      <c r="C3237" s="279" t="s">
        <v>428</v>
      </c>
      <c r="D3237" s="34">
        <f>台时!C42</f>
        <v>0.813242919824491</v>
      </c>
      <c r="E3237" s="7">
        <v>6.8</v>
      </c>
      <c r="F3237" s="69">
        <f>D3237*E3237</f>
        <v>5.53005185480654</v>
      </c>
      <c r="G3237" s="309"/>
      <c r="H3237" s="309" t="s">
        <v>952</v>
      </c>
      <c r="I3237" s="309" t="s">
        <v>845</v>
      </c>
      <c r="J3237" s="316">
        <f>SUM(L3233:L3236)</f>
        <v>12930.8</v>
      </c>
      <c r="K3237" s="309">
        <v>3</v>
      </c>
      <c r="L3237" s="316">
        <f>J3237*K3237/100</f>
        <v>387.924</v>
      </c>
    </row>
    <row r="3238" ht="14.1" customHeight="1" spans="1:12">
      <c r="A3238" s="7" t="s">
        <v>564</v>
      </c>
      <c r="B3238" s="7" t="s">
        <v>846</v>
      </c>
      <c r="C3238" s="230">
        <f>取费表!$C$7</f>
        <v>0.048</v>
      </c>
      <c r="D3238" s="297"/>
      <c r="E3238" s="34">
        <f>F3228</f>
        <v>1183.10432897481</v>
      </c>
      <c r="F3238" s="69">
        <f>E3238*C3238</f>
        <v>56.7890077907907</v>
      </c>
      <c r="G3238" s="309">
        <v>3</v>
      </c>
      <c r="H3238" s="309" t="s">
        <v>859</v>
      </c>
      <c r="I3238" s="309"/>
      <c r="J3238" s="309"/>
      <c r="K3238" s="309"/>
      <c r="L3238" s="316"/>
    </row>
    <row r="3239" ht="14.1" customHeight="1" spans="1:12">
      <c r="A3239" s="7"/>
      <c r="B3239" s="7"/>
      <c r="C3239" s="230"/>
      <c r="D3239" s="297"/>
      <c r="E3239" s="34"/>
      <c r="F3239" s="69"/>
      <c r="G3239" s="309" t="s">
        <v>564</v>
      </c>
      <c r="H3239" s="309" t="s">
        <v>846</v>
      </c>
      <c r="I3239" s="317">
        <f>C3238</f>
        <v>0.048</v>
      </c>
      <c r="J3239" s="314"/>
      <c r="K3239" s="313">
        <f>L3228</f>
        <v>16176.652</v>
      </c>
      <c r="L3239" s="316">
        <f t="shared" ref="L3239:L3242" si="221">K3239*I3239</f>
        <v>776.479296</v>
      </c>
    </row>
    <row r="3240" ht="14.1" customHeight="1" spans="1:12">
      <c r="A3240" s="7" t="s">
        <v>439</v>
      </c>
      <c r="B3240" s="7" t="s">
        <v>847</v>
      </c>
      <c r="C3240" s="230">
        <f>取费表!$E$7</f>
        <v>0.07</v>
      </c>
      <c r="D3240" s="297"/>
      <c r="E3240" s="34">
        <f>F3227</f>
        <v>1239.8933367656</v>
      </c>
      <c r="F3240" s="69">
        <f>E3240*C3240</f>
        <v>86.7925335735918</v>
      </c>
      <c r="G3240" s="309" t="s">
        <v>439</v>
      </c>
      <c r="H3240" s="309" t="s">
        <v>847</v>
      </c>
      <c r="I3240" s="317">
        <f>C3240</f>
        <v>0.07</v>
      </c>
      <c r="J3240" s="314"/>
      <c r="K3240" s="313">
        <f>L3227</f>
        <v>16953.131296</v>
      </c>
      <c r="L3240" s="316">
        <f t="shared" si="221"/>
        <v>1186.71919072</v>
      </c>
    </row>
    <row r="3241" ht="14.1" customHeight="1" spans="1:12">
      <c r="A3241" s="7" t="s">
        <v>83</v>
      </c>
      <c r="B3241" s="7" t="s">
        <v>848</v>
      </c>
      <c r="C3241" s="230">
        <f>取费表!$F$7</f>
        <v>0.07</v>
      </c>
      <c r="D3241" s="297"/>
      <c r="E3241" s="34">
        <f>F3240+F3227</f>
        <v>1326.68587033919</v>
      </c>
      <c r="F3241" s="69">
        <f>E3241*C3241</f>
        <v>92.8680109237432</v>
      </c>
      <c r="G3241" s="309" t="s">
        <v>83</v>
      </c>
      <c r="H3241" s="309" t="s">
        <v>848</v>
      </c>
      <c r="I3241" s="317">
        <f>C3241</f>
        <v>0.07</v>
      </c>
      <c r="J3241" s="314"/>
      <c r="K3241" s="313">
        <f>L3240+L3227</f>
        <v>18139.85048672</v>
      </c>
      <c r="L3241" s="316">
        <f t="shared" si="221"/>
        <v>1269.7895340704</v>
      </c>
    </row>
    <row r="3242" ht="14.1" customHeight="1" spans="1:12">
      <c r="A3242" s="7" t="s">
        <v>121</v>
      </c>
      <c r="B3242" s="7" t="s">
        <v>861</v>
      </c>
      <c r="C3242" s="9"/>
      <c r="D3242" s="7"/>
      <c r="E3242" s="7"/>
      <c r="F3242" s="69">
        <f>SUM(F3243:F3244)</f>
        <v>239.8129623296</v>
      </c>
      <c r="G3242" s="309" t="s">
        <v>135</v>
      </c>
      <c r="H3242" s="309" t="s">
        <v>849</v>
      </c>
      <c r="I3242" s="318">
        <f>C3245</f>
        <v>0.09</v>
      </c>
      <c r="J3242" s="309"/>
      <c r="K3242" s="313">
        <f>L3241+L3240+L3227</f>
        <v>19409.6400207904</v>
      </c>
      <c r="L3242" s="316">
        <f t="shared" si="221"/>
        <v>1746.86760187114</v>
      </c>
    </row>
    <row r="3243" ht="14.1" customHeight="1" spans="1:12">
      <c r="A3243" s="7"/>
      <c r="B3243" s="7" t="s">
        <v>979</v>
      </c>
      <c r="C3243" s="7" t="s">
        <v>169</v>
      </c>
      <c r="D3243" s="34">
        <f>材料预算价!K5-材料预算价!L5</f>
        <v>141.58936</v>
      </c>
      <c r="E3243" s="38">
        <f>E3233*配合比!E15</f>
        <v>0.83936</v>
      </c>
      <c r="F3243" s="69">
        <f>E3243*D3243</f>
        <v>118.8444452096</v>
      </c>
      <c r="G3243" s="309"/>
      <c r="H3243" s="309" t="s">
        <v>850</v>
      </c>
      <c r="I3243" s="318"/>
      <c r="J3243" s="309"/>
      <c r="K3243" s="313"/>
      <c r="L3243" s="316">
        <f>(L3227+L3240+L3241+L3242)*取费表!H7</f>
        <v>634.695228679846</v>
      </c>
    </row>
    <row r="3244" ht="14.1" customHeight="1" spans="1:12">
      <c r="A3244" s="7"/>
      <c r="B3244" s="7" t="s">
        <v>961</v>
      </c>
      <c r="C3244" s="7" t="s">
        <v>169</v>
      </c>
      <c r="D3244" s="34">
        <f>材料预算价!K7-材料预算价!L7</f>
        <v>34.366056</v>
      </c>
      <c r="E3244" s="7">
        <f>E3233*配合比!G15</f>
        <v>3.52</v>
      </c>
      <c r="F3244" s="69">
        <f>E3244*D3244</f>
        <v>120.96851712</v>
      </c>
      <c r="G3244" s="309"/>
      <c r="H3244" s="309" t="s">
        <v>156</v>
      </c>
      <c r="I3244" s="309"/>
      <c r="J3244" s="309"/>
      <c r="K3244" s="309"/>
      <c r="L3244" s="316">
        <f>L3242+K3242+L3243</f>
        <v>21791.2028513414</v>
      </c>
    </row>
    <row r="3245" ht="14.1" customHeight="1" spans="1:6">
      <c r="A3245" s="7" t="s">
        <v>135</v>
      </c>
      <c r="B3245" s="7" t="s">
        <v>849</v>
      </c>
      <c r="C3245" s="231">
        <f>C3218</f>
        <v>0.09</v>
      </c>
      <c r="D3245" s="7"/>
      <c r="E3245" s="34">
        <f>F3242+F3241+F3240+F3227</f>
        <v>1659.36684359253</v>
      </c>
      <c r="F3245" s="69">
        <f>E3245*C3245</f>
        <v>149.343015923328</v>
      </c>
    </row>
    <row r="3246" ht="14.1" customHeight="1" spans="1:6">
      <c r="A3246" s="7"/>
      <c r="B3246" s="7" t="s">
        <v>850</v>
      </c>
      <c r="C3246" s="231"/>
      <c r="D3246" s="7"/>
      <c r="E3246" s="34"/>
      <c r="F3246" s="69">
        <f>(F3227+F3240+F3241+F3242+F3245)*取费表!H4</f>
        <v>54.2612957854759</v>
      </c>
    </row>
    <row r="3247" ht="14.1" customHeight="1" spans="1:6">
      <c r="A3247" s="7"/>
      <c r="B3247" s="7" t="s">
        <v>156</v>
      </c>
      <c r="C3247" s="7"/>
      <c r="D3247" s="7"/>
      <c r="E3247" s="7"/>
      <c r="F3247" s="69">
        <f>F3245+E3245+F3246</f>
        <v>1862.97115530134</v>
      </c>
    </row>
    <row r="3248" ht="14.1" customHeight="1" spans="1:6">
      <c r="A3248" s="278" t="s">
        <v>1163</v>
      </c>
      <c r="B3248" s="272"/>
      <c r="C3248" s="272"/>
      <c r="D3248" s="272"/>
      <c r="E3248" s="272"/>
      <c r="F3248" s="272"/>
    </row>
    <row r="3249" ht="14.1" customHeight="1" spans="1:6">
      <c r="A3249" s="228" t="s">
        <v>1164</v>
      </c>
      <c r="B3249" s="228"/>
      <c r="C3249" s="229"/>
      <c r="D3249" s="229"/>
      <c r="E3249" s="228" t="s">
        <v>1165</v>
      </c>
      <c r="F3249" s="228"/>
    </row>
    <row r="3250" ht="14.1" customHeight="1" spans="1:6">
      <c r="A3250" s="146" t="s">
        <v>911</v>
      </c>
      <c r="B3250" s="233"/>
      <c r="C3250" s="233"/>
      <c r="D3250" s="233"/>
      <c r="E3250" s="233"/>
      <c r="F3250" s="147"/>
    </row>
    <row r="3251" ht="14.1" customHeight="1" spans="1:6">
      <c r="A3251" s="7" t="s">
        <v>104</v>
      </c>
      <c r="B3251" s="7" t="s">
        <v>835</v>
      </c>
      <c r="C3251" s="7" t="s">
        <v>159</v>
      </c>
      <c r="D3251" s="7" t="s">
        <v>422</v>
      </c>
      <c r="E3251" s="7" t="s">
        <v>160</v>
      </c>
      <c r="F3251" s="7" t="s">
        <v>18</v>
      </c>
    </row>
    <row r="3252" ht="14.1" customHeight="1" spans="1:6">
      <c r="A3252" s="7" t="s">
        <v>836</v>
      </c>
      <c r="B3252" s="7" t="s">
        <v>837</v>
      </c>
      <c r="C3252" s="7"/>
      <c r="D3252" s="7"/>
      <c r="E3252" s="7"/>
      <c r="F3252" s="34">
        <f>F3253+F3264+F3265</f>
        <v>6319.65054532115</v>
      </c>
    </row>
    <row r="3253" ht="14.1" customHeight="1" spans="1:6">
      <c r="A3253" s="7" t="s">
        <v>539</v>
      </c>
      <c r="B3253" s="7" t="s">
        <v>838</v>
      </c>
      <c r="C3253" s="7"/>
      <c r="D3253" s="7"/>
      <c r="E3253" s="7"/>
      <c r="F3253" s="34">
        <f>F3254+F3257</f>
        <v>6030.200902024</v>
      </c>
    </row>
    <row r="3254" ht="14.1" customHeight="1" spans="1:6">
      <c r="A3254" s="7">
        <v>1</v>
      </c>
      <c r="B3254" s="7" t="s">
        <v>839</v>
      </c>
      <c r="C3254" s="7" t="s">
        <v>840</v>
      </c>
      <c r="D3254" s="34"/>
      <c r="E3254" s="42">
        <f>SUM(E3255:E3256)</f>
        <v>304.00304</v>
      </c>
      <c r="F3254" s="69">
        <f>SUM(F3255:F3256)</f>
        <v>2264.141624</v>
      </c>
    </row>
    <row r="3255" s="217" customFormat="1" ht="14.1" customHeight="1" spans="1:6">
      <c r="A3255" s="7"/>
      <c r="B3255" s="7" t="s">
        <v>841</v>
      </c>
      <c r="C3255" s="7" t="s">
        <v>840</v>
      </c>
      <c r="D3255" s="69">
        <f>D3230</f>
        <v>8.1</v>
      </c>
      <c r="E3255" s="42">
        <v>218.90304</v>
      </c>
      <c r="F3255" s="69">
        <f t="shared" ref="F3255:F3262" si="222">D3255*E3255</f>
        <v>1773.114624</v>
      </c>
    </row>
    <row r="3256" s="217" customFormat="1" ht="14.1" customHeight="1" spans="1:6">
      <c r="A3256" s="7"/>
      <c r="B3256" s="7" t="s">
        <v>842</v>
      </c>
      <c r="C3256" s="7" t="s">
        <v>840</v>
      </c>
      <c r="D3256" s="69">
        <f>D3231</f>
        <v>5.77</v>
      </c>
      <c r="E3256" s="42">
        <v>85.1</v>
      </c>
      <c r="F3256" s="69">
        <f t="shared" si="222"/>
        <v>491.027</v>
      </c>
    </row>
    <row r="3257" ht="14.1" customHeight="1" spans="1:6">
      <c r="A3257" s="7">
        <v>2</v>
      </c>
      <c r="B3257" s="7" t="s">
        <v>912</v>
      </c>
      <c r="C3257" s="9"/>
      <c r="D3257" s="34"/>
      <c r="E3257" s="34"/>
      <c r="F3257" s="34">
        <f>SUM(F3258:F3262)</f>
        <v>3766.059278024</v>
      </c>
    </row>
    <row r="3258" ht="14.1" customHeight="1" spans="1:6">
      <c r="A3258" s="7"/>
      <c r="B3258" s="273" t="s">
        <v>1159</v>
      </c>
      <c r="C3258" s="9" t="s">
        <v>200</v>
      </c>
      <c r="D3258" s="34">
        <v>3284</v>
      </c>
      <c r="E3258" s="268">
        <v>0.79</v>
      </c>
      <c r="F3258" s="34">
        <f t="shared" si="222"/>
        <v>2594.36</v>
      </c>
    </row>
    <row r="3259" ht="14.1" customHeight="1" spans="1:6">
      <c r="A3259" s="7"/>
      <c r="B3259" s="273" t="s">
        <v>979</v>
      </c>
      <c r="C3259" s="9" t="s">
        <v>200</v>
      </c>
      <c r="D3259" s="69">
        <f>材料预算价!L5</f>
        <v>255</v>
      </c>
      <c r="E3259" s="268">
        <v>0.85</v>
      </c>
      <c r="F3259" s="34">
        <f t="shared" si="222"/>
        <v>216.75</v>
      </c>
    </row>
    <row r="3260" ht="14.1" customHeight="1" spans="1:6">
      <c r="A3260" s="7"/>
      <c r="B3260" s="273" t="s">
        <v>1166</v>
      </c>
      <c r="C3260" s="7" t="s">
        <v>169</v>
      </c>
      <c r="D3260" s="34">
        <f>材料预算价!K7</f>
        <v>104.366056</v>
      </c>
      <c r="E3260" s="34">
        <v>2.9</v>
      </c>
      <c r="F3260" s="34">
        <f t="shared" si="222"/>
        <v>302.6615624</v>
      </c>
    </row>
    <row r="3261" ht="14.1" customHeight="1" spans="1:6">
      <c r="A3261" s="7"/>
      <c r="B3261" s="273" t="s">
        <v>1161</v>
      </c>
      <c r="C3261" s="7" t="s">
        <v>863</v>
      </c>
      <c r="D3261" s="34">
        <v>0.5</v>
      </c>
      <c r="E3261" s="34">
        <v>1230</v>
      </c>
      <c r="F3261" s="34">
        <f t="shared" si="222"/>
        <v>615</v>
      </c>
    </row>
    <row r="3262" ht="14.1" customHeight="1" spans="1:6">
      <c r="A3262" s="7"/>
      <c r="B3262" s="7" t="s">
        <v>1004</v>
      </c>
      <c r="C3262" s="9" t="s">
        <v>845</v>
      </c>
      <c r="D3262" s="254">
        <f>SUM(F3258:F3261)</f>
        <v>3728.7715624</v>
      </c>
      <c r="E3262" s="51">
        <v>0.01</v>
      </c>
      <c r="F3262" s="34">
        <f t="shared" si="222"/>
        <v>37.287715624</v>
      </c>
    </row>
    <row r="3263" ht="14.1" customHeight="1" spans="1:6">
      <c r="A3263" s="7">
        <v>3</v>
      </c>
      <c r="B3263" s="7" t="s">
        <v>859</v>
      </c>
      <c r="C3263" s="9"/>
      <c r="D3263" s="34"/>
      <c r="E3263" s="34"/>
      <c r="F3263" s="34">
        <v>0</v>
      </c>
    </row>
    <row r="3264" ht="14.1" customHeight="1" spans="1:6">
      <c r="A3264" s="7" t="s">
        <v>564</v>
      </c>
      <c r="B3264" s="7" t="s">
        <v>846</v>
      </c>
      <c r="C3264" s="230">
        <f>取费表!$C$7</f>
        <v>0.048</v>
      </c>
      <c r="D3264" s="34"/>
      <c r="E3264" s="34">
        <f>F3253</f>
        <v>6030.200902024</v>
      </c>
      <c r="F3264" s="34">
        <f>E3264*C3264</f>
        <v>289.449643297152</v>
      </c>
    </row>
    <row r="3265" ht="14.1" customHeight="1" spans="1:6">
      <c r="A3265" s="7"/>
      <c r="B3265" s="7"/>
      <c r="C3265" s="230"/>
      <c r="D3265" s="34"/>
      <c r="E3265" s="34"/>
      <c r="F3265" s="34"/>
    </row>
    <row r="3266" ht="14.1" customHeight="1" spans="1:6">
      <c r="A3266" s="7" t="s">
        <v>439</v>
      </c>
      <c r="B3266" s="7" t="s">
        <v>847</v>
      </c>
      <c r="C3266" s="230">
        <f>取费表!$E$7</f>
        <v>0.07</v>
      </c>
      <c r="D3266" s="34"/>
      <c r="E3266" s="34">
        <f>F3252</f>
        <v>6319.65054532115</v>
      </c>
      <c r="F3266" s="34">
        <f>E3266*C3266</f>
        <v>442.375538172481</v>
      </c>
    </row>
    <row r="3267" ht="14.1" customHeight="1" spans="1:6">
      <c r="A3267" s="7" t="s">
        <v>83</v>
      </c>
      <c r="B3267" s="7" t="s">
        <v>848</v>
      </c>
      <c r="C3267" s="230">
        <f>取费表!$F$7</f>
        <v>0.07</v>
      </c>
      <c r="D3267" s="34"/>
      <c r="E3267" s="34">
        <f>F3266+F3252</f>
        <v>6762.02608349363</v>
      </c>
      <c r="F3267" s="34">
        <f>E3267*C3267</f>
        <v>473.341825844554</v>
      </c>
    </row>
    <row r="3268" ht="14.1" customHeight="1" spans="1:6">
      <c r="A3268" s="7" t="s">
        <v>121</v>
      </c>
      <c r="B3268" s="7" t="s">
        <v>849</v>
      </c>
      <c r="C3268" s="231">
        <f>C3245</f>
        <v>0.09</v>
      </c>
      <c r="D3268" s="34"/>
      <c r="E3268" s="34">
        <f>F3267+F3266+F3252</f>
        <v>7235.36790933819</v>
      </c>
      <c r="F3268" s="34">
        <f>E3268*C3268</f>
        <v>651.183111840437</v>
      </c>
    </row>
    <row r="3269" ht="14.1" customHeight="1" spans="1:6">
      <c r="A3269" s="7"/>
      <c r="B3269" s="7" t="s">
        <v>850</v>
      </c>
      <c r="C3269" s="231"/>
      <c r="D3269" s="34"/>
      <c r="E3269" s="34"/>
      <c r="F3269" s="34">
        <f>(F3252+F3266+F3267+F3268)*取费表!H4</f>
        <v>236.596530635359</v>
      </c>
    </row>
    <row r="3270" ht="14.1" customHeight="1" spans="1:6">
      <c r="A3270" s="7"/>
      <c r="B3270" s="7" t="s">
        <v>156</v>
      </c>
      <c r="C3270" s="7"/>
      <c r="D3270" s="34"/>
      <c r="E3270" s="34"/>
      <c r="F3270" s="34">
        <f>F3268+E3268+F3269</f>
        <v>8123.14755181398</v>
      </c>
    </row>
    <row r="3271" ht="15" customHeight="1" spans="1:12">
      <c r="A3271" s="248" t="s">
        <v>881</v>
      </c>
      <c r="B3271" s="225"/>
      <c r="C3271" s="225"/>
      <c r="D3271" s="225"/>
      <c r="E3271" s="225"/>
      <c r="F3271" s="225"/>
      <c r="G3271" s="248" t="s">
        <v>881</v>
      </c>
      <c r="H3271" s="225"/>
      <c r="I3271" s="225"/>
      <c r="J3271" s="225"/>
      <c r="K3271" s="225"/>
      <c r="L3271" s="225"/>
    </row>
    <row r="3272" ht="15" customHeight="1" spans="1:12">
      <c r="A3272" s="249" t="s">
        <v>1167</v>
      </c>
      <c r="B3272" s="229"/>
      <c r="C3272" s="229"/>
      <c r="D3272" s="229"/>
      <c r="E3272" s="229"/>
      <c r="F3272" s="229"/>
      <c r="G3272" s="249" t="s">
        <v>1168</v>
      </c>
      <c r="H3272" s="229"/>
      <c r="I3272" s="229"/>
      <c r="J3272" s="229"/>
      <c r="K3272" s="229"/>
      <c r="L3272" s="229"/>
    </row>
    <row r="3273" ht="15" customHeight="1" spans="1:12">
      <c r="A3273" s="228" t="s">
        <v>1169</v>
      </c>
      <c r="B3273" s="228"/>
      <c r="C3273" s="229"/>
      <c r="D3273" s="229"/>
      <c r="E3273" s="228" t="s">
        <v>857</v>
      </c>
      <c r="F3273" s="228"/>
      <c r="G3273" s="228" t="s">
        <v>1169</v>
      </c>
      <c r="H3273" s="228"/>
      <c r="I3273" s="229"/>
      <c r="J3273" s="229"/>
      <c r="K3273" s="228" t="s">
        <v>857</v>
      </c>
      <c r="L3273" s="228"/>
    </row>
    <row r="3274" ht="15" customHeight="1" spans="1:12">
      <c r="A3274" s="146" t="s">
        <v>1170</v>
      </c>
      <c r="B3274" s="233"/>
      <c r="C3274" s="233"/>
      <c r="D3274" s="233"/>
      <c r="E3274" s="233"/>
      <c r="F3274" s="147"/>
      <c r="G3274" s="146" t="s">
        <v>1171</v>
      </c>
      <c r="H3274" s="233"/>
      <c r="I3274" s="233"/>
      <c r="J3274" s="233"/>
      <c r="K3274" s="233"/>
      <c r="L3274" s="147"/>
    </row>
    <row r="3275" ht="15" customHeight="1" spans="1:12">
      <c r="A3275" s="7" t="s">
        <v>104</v>
      </c>
      <c r="B3275" s="7" t="s">
        <v>835</v>
      </c>
      <c r="C3275" s="7" t="s">
        <v>159</v>
      </c>
      <c r="D3275" s="7" t="s">
        <v>422</v>
      </c>
      <c r="E3275" s="7" t="s">
        <v>160</v>
      </c>
      <c r="F3275" s="7" t="s">
        <v>18</v>
      </c>
      <c r="G3275" s="7" t="s">
        <v>104</v>
      </c>
      <c r="H3275" s="7" t="s">
        <v>835</v>
      </c>
      <c r="I3275" s="7" t="s">
        <v>159</v>
      </c>
      <c r="J3275" s="7" t="s">
        <v>422</v>
      </c>
      <c r="K3275" s="7" t="s">
        <v>160</v>
      </c>
      <c r="L3275" s="7" t="s">
        <v>18</v>
      </c>
    </row>
    <row r="3276" ht="15" customHeight="1" spans="1:12">
      <c r="A3276" s="7" t="s">
        <v>836</v>
      </c>
      <c r="B3276" s="7" t="s">
        <v>837</v>
      </c>
      <c r="C3276" s="7"/>
      <c r="D3276" s="7"/>
      <c r="E3276" s="7"/>
      <c r="F3276" s="34">
        <f>F3277+F3286+F3287</f>
        <v>98.02992</v>
      </c>
      <c r="G3276" s="7" t="s">
        <v>836</v>
      </c>
      <c r="H3276" s="7" t="s">
        <v>837</v>
      </c>
      <c r="I3276" s="7"/>
      <c r="J3276" s="7"/>
      <c r="K3276" s="7"/>
      <c r="L3276" s="34">
        <f>L3277+L3286+L3287</f>
        <v>284.51104</v>
      </c>
    </row>
    <row r="3277" ht="15" customHeight="1" spans="1:12">
      <c r="A3277" s="7" t="s">
        <v>539</v>
      </c>
      <c r="B3277" s="7" t="s">
        <v>838</v>
      </c>
      <c r="C3277" s="7"/>
      <c r="D3277" s="7"/>
      <c r="E3277" s="7"/>
      <c r="F3277" s="34">
        <f>F3278+F3281+F3285</f>
        <v>93.54</v>
      </c>
      <c r="G3277" s="7" t="s">
        <v>539</v>
      </c>
      <c r="H3277" s="7" t="s">
        <v>838</v>
      </c>
      <c r="I3277" s="7"/>
      <c r="J3277" s="7"/>
      <c r="K3277" s="7"/>
      <c r="L3277" s="34">
        <f>L3278+L3281+L3285</f>
        <v>271.48</v>
      </c>
    </row>
    <row r="3278" ht="15" customHeight="1" spans="1:12">
      <c r="A3278" s="7">
        <v>1</v>
      </c>
      <c r="B3278" s="7" t="s">
        <v>839</v>
      </c>
      <c r="C3278" s="7" t="s">
        <v>840</v>
      </c>
      <c r="D3278" s="69"/>
      <c r="E3278" s="69">
        <f>SUM(E3279:E3280)</f>
        <v>15</v>
      </c>
      <c r="F3278" s="69">
        <f>SUM(F3279:F3280)</f>
        <v>93.54</v>
      </c>
      <c r="G3278" s="7">
        <v>1</v>
      </c>
      <c r="H3278" s="7" t="s">
        <v>839</v>
      </c>
      <c r="I3278" s="7" t="s">
        <v>840</v>
      </c>
      <c r="J3278" s="69"/>
      <c r="K3278" s="69">
        <f>SUM(K3279:K3280)</f>
        <v>34</v>
      </c>
      <c r="L3278" s="69">
        <f>SUM(L3279:L3280)</f>
        <v>219.48</v>
      </c>
    </row>
    <row r="3279" ht="15" customHeight="1" spans="1:12">
      <c r="A3279" s="7"/>
      <c r="B3279" s="7" t="s">
        <v>841</v>
      </c>
      <c r="C3279" s="7" t="s">
        <v>840</v>
      </c>
      <c r="D3279" s="69">
        <f>D3255</f>
        <v>8.1</v>
      </c>
      <c r="E3279" s="69">
        <v>3</v>
      </c>
      <c r="F3279" s="69">
        <f>D3279*E3279</f>
        <v>24.3</v>
      </c>
      <c r="G3279" s="7"/>
      <c r="H3279" s="7" t="s">
        <v>841</v>
      </c>
      <c r="I3279" s="7" t="s">
        <v>840</v>
      </c>
      <c r="J3279" s="69">
        <f>D3279</f>
        <v>8.1</v>
      </c>
      <c r="K3279" s="69">
        <v>10</v>
      </c>
      <c r="L3279" s="69">
        <f>J3279*K3279</f>
        <v>81</v>
      </c>
    </row>
    <row r="3280" ht="15" customHeight="1" spans="1:12">
      <c r="A3280" s="7"/>
      <c r="B3280" s="7" t="s">
        <v>842</v>
      </c>
      <c r="C3280" s="7" t="s">
        <v>840</v>
      </c>
      <c r="D3280" s="69">
        <f>D3256</f>
        <v>5.77</v>
      </c>
      <c r="E3280" s="69">
        <v>12</v>
      </c>
      <c r="F3280" s="69">
        <f>D3280*E3280</f>
        <v>69.24</v>
      </c>
      <c r="G3280" s="7"/>
      <c r="H3280" s="7" t="s">
        <v>842</v>
      </c>
      <c r="I3280" s="7" t="s">
        <v>840</v>
      </c>
      <c r="J3280" s="69">
        <f>D3280</f>
        <v>5.77</v>
      </c>
      <c r="K3280" s="69">
        <v>24</v>
      </c>
      <c r="L3280" s="69">
        <f>J3280*K3280</f>
        <v>138.48</v>
      </c>
    </row>
    <row r="3281" ht="15" customHeight="1" spans="1:12">
      <c r="A3281" s="7">
        <v>2</v>
      </c>
      <c r="B3281" s="7" t="s">
        <v>912</v>
      </c>
      <c r="C3281" s="279"/>
      <c r="D3281" s="7"/>
      <c r="E3281" s="7"/>
      <c r="F3281" s="69">
        <f>SUM(F3282:F3284)</f>
        <v>0</v>
      </c>
      <c r="G3281" s="7">
        <v>2</v>
      </c>
      <c r="H3281" s="7" t="s">
        <v>912</v>
      </c>
      <c r="I3281" s="279"/>
      <c r="J3281" s="7"/>
      <c r="K3281" s="7"/>
      <c r="L3281" s="69">
        <f>SUM(L3282:L3284)</f>
        <v>52</v>
      </c>
    </row>
    <row r="3282" ht="15" customHeight="1" spans="1:15">
      <c r="A3282" s="7"/>
      <c r="B3282" s="7" t="s">
        <v>1172</v>
      </c>
      <c r="C3282" s="9" t="s">
        <v>1173</v>
      </c>
      <c r="D3282" s="7"/>
      <c r="E3282" s="7">
        <v>107</v>
      </c>
      <c r="F3282" s="69">
        <f>D3282*E3282</f>
        <v>0</v>
      </c>
      <c r="G3282" s="7"/>
      <c r="H3282" s="7" t="s">
        <v>1174</v>
      </c>
      <c r="I3282" s="9" t="s">
        <v>1173</v>
      </c>
      <c r="J3282" s="7"/>
      <c r="K3282" s="7">
        <v>106</v>
      </c>
      <c r="L3282" s="69">
        <f>J3282*K3282</f>
        <v>0</v>
      </c>
      <c r="N3282" s="223">
        <v>200</v>
      </c>
      <c r="O3282" s="223">
        <v>2.59</v>
      </c>
    </row>
    <row r="3283" ht="15" customHeight="1" spans="1:15">
      <c r="A3283" s="7"/>
      <c r="B3283" s="7"/>
      <c r="C3283" s="9"/>
      <c r="D3283" s="7"/>
      <c r="E3283" s="7"/>
      <c r="F3283" s="69"/>
      <c r="G3283" s="7"/>
      <c r="H3283" s="7" t="s">
        <v>1175</v>
      </c>
      <c r="I3283" s="9" t="s">
        <v>863</v>
      </c>
      <c r="J3283" s="7">
        <v>25</v>
      </c>
      <c r="K3283" s="7">
        <v>2</v>
      </c>
      <c r="L3283" s="69">
        <f>J3283*K3283</f>
        <v>50</v>
      </c>
      <c r="N3283" s="223">
        <v>250</v>
      </c>
      <c r="O3283" s="223">
        <f>O3282*N3283/N3282</f>
        <v>3.2375</v>
      </c>
    </row>
    <row r="3284" ht="15" customHeight="1" spans="1:12">
      <c r="A3284" s="7"/>
      <c r="B3284" s="7" t="s">
        <v>952</v>
      </c>
      <c r="C3284" s="9" t="s">
        <v>845</v>
      </c>
      <c r="D3284" s="69">
        <f>SUM(F3282:F3283)</f>
        <v>0</v>
      </c>
      <c r="E3284" s="7">
        <v>2</v>
      </c>
      <c r="F3284" s="69">
        <f>D3284*E3284/100</f>
        <v>0</v>
      </c>
      <c r="G3284" s="7"/>
      <c r="H3284" s="7" t="s">
        <v>952</v>
      </c>
      <c r="I3284" s="9" t="s">
        <v>845</v>
      </c>
      <c r="J3284" s="69">
        <f>SUM(L3282:L3283)</f>
        <v>50</v>
      </c>
      <c r="K3284" s="7">
        <v>4</v>
      </c>
      <c r="L3284" s="69">
        <f>J3284*K3284/100</f>
        <v>2</v>
      </c>
    </row>
    <row r="3285" ht="15" customHeight="1" spans="1:12">
      <c r="A3285" s="7">
        <v>3</v>
      </c>
      <c r="B3285" s="7" t="s">
        <v>843</v>
      </c>
      <c r="C3285" s="9"/>
      <c r="D3285" s="69"/>
      <c r="E3285" s="7"/>
      <c r="F3285" s="69">
        <v>0</v>
      </c>
      <c r="G3285" s="7">
        <v>3</v>
      </c>
      <c r="H3285" s="7" t="s">
        <v>843</v>
      </c>
      <c r="I3285" s="9"/>
      <c r="J3285" s="69"/>
      <c r="K3285" s="7"/>
      <c r="L3285" s="69">
        <v>0</v>
      </c>
    </row>
    <row r="3286" ht="15" customHeight="1" spans="1:12">
      <c r="A3286" s="7" t="s">
        <v>564</v>
      </c>
      <c r="B3286" s="7" t="s">
        <v>846</v>
      </c>
      <c r="C3286" s="230">
        <f>取费表!C12</f>
        <v>0.048</v>
      </c>
      <c r="D3286" s="69"/>
      <c r="E3286" s="34">
        <f>F3277</f>
        <v>93.54</v>
      </c>
      <c r="F3286" s="69">
        <f>E3286*C3286</f>
        <v>4.48992</v>
      </c>
      <c r="G3286" s="7" t="s">
        <v>564</v>
      </c>
      <c r="H3286" s="7" t="s">
        <v>846</v>
      </c>
      <c r="I3286" s="230">
        <f>C3286</f>
        <v>0.048</v>
      </c>
      <c r="J3286" s="69"/>
      <c r="K3286" s="34">
        <f>L3277</f>
        <v>271.48</v>
      </c>
      <c r="L3286" s="69">
        <f>K3286*I3286</f>
        <v>13.03104</v>
      </c>
    </row>
    <row r="3287" ht="15" customHeight="1" spans="1:12">
      <c r="A3287" s="7"/>
      <c r="B3287" s="7"/>
      <c r="C3287" s="231"/>
      <c r="D3287" s="69"/>
      <c r="E3287" s="34"/>
      <c r="F3287" s="69"/>
      <c r="G3287" s="7"/>
      <c r="H3287" s="7"/>
      <c r="I3287" s="231"/>
      <c r="J3287" s="69"/>
      <c r="K3287" s="34"/>
      <c r="L3287" s="69"/>
    </row>
    <row r="3288" ht="15" customHeight="1" spans="1:12">
      <c r="A3288" s="7" t="s">
        <v>439</v>
      </c>
      <c r="B3288" s="7" t="s">
        <v>847</v>
      </c>
      <c r="C3288" s="231">
        <f>取费表!E12</f>
        <v>0.0725</v>
      </c>
      <c r="D3288" s="69"/>
      <c r="E3288" s="38">
        <f>F3276</f>
        <v>98.02992</v>
      </c>
      <c r="F3288" s="69">
        <f>E3288*C3288</f>
        <v>7.1071692</v>
      </c>
      <c r="G3288" s="7" t="s">
        <v>439</v>
      </c>
      <c r="H3288" s="7" t="s">
        <v>847</v>
      </c>
      <c r="I3288" s="231">
        <f>C3288</f>
        <v>0.0725</v>
      </c>
      <c r="J3288" s="69"/>
      <c r="K3288" s="38">
        <f>L3276</f>
        <v>284.51104</v>
      </c>
      <c r="L3288" s="69">
        <f>K3288*I3288</f>
        <v>20.6270504</v>
      </c>
    </row>
    <row r="3289" ht="15" customHeight="1" spans="1:12">
      <c r="A3289" s="7" t="s">
        <v>83</v>
      </c>
      <c r="B3289" s="7" t="s">
        <v>848</v>
      </c>
      <c r="C3289" s="257">
        <f>取费表!F12</f>
        <v>0.05</v>
      </c>
      <c r="D3289" s="69"/>
      <c r="E3289" s="34">
        <f>F3288+F3276</f>
        <v>105.1370892</v>
      </c>
      <c r="F3289" s="69">
        <f>E3289*C3289</f>
        <v>5.25685446</v>
      </c>
      <c r="G3289" s="7" t="s">
        <v>83</v>
      </c>
      <c r="H3289" s="7" t="s">
        <v>848</v>
      </c>
      <c r="I3289" s="257">
        <f>C3289</f>
        <v>0.05</v>
      </c>
      <c r="J3289" s="69"/>
      <c r="K3289" s="34">
        <f>L3288+L3276</f>
        <v>305.1380904</v>
      </c>
      <c r="L3289" s="69">
        <f>K3289*I3289</f>
        <v>15.25690452</v>
      </c>
    </row>
    <row r="3290" ht="15" customHeight="1" spans="1:12">
      <c r="A3290" s="7"/>
      <c r="B3290" s="7" t="s">
        <v>1176</v>
      </c>
      <c r="C3290" s="9" t="s">
        <v>1173</v>
      </c>
      <c r="D3290" s="69">
        <v>2.74</v>
      </c>
      <c r="E3290" s="7">
        <f>E3282</f>
        <v>107</v>
      </c>
      <c r="F3290" s="69">
        <f>D3290*E3290</f>
        <v>293.18</v>
      </c>
      <c r="G3290" s="7"/>
      <c r="H3290" s="7" t="s">
        <v>1174</v>
      </c>
      <c r="I3290" s="9" t="s">
        <v>1173</v>
      </c>
      <c r="J3290" s="69">
        <v>5.66</v>
      </c>
      <c r="K3290" s="7">
        <v>106</v>
      </c>
      <c r="L3290" s="69">
        <f>J3290*K3290</f>
        <v>599.96</v>
      </c>
    </row>
    <row r="3291" ht="15" customHeight="1" spans="1:12">
      <c r="A3291" s="7" t="s">
        <v>121</v>
      </c>
      <c r="B3291" s="7" t="s">
        <v>849</v>
      </c>
      <c r="C3291" s="231">
        <f>取费表!G12</f>
        <v>0.09</v>
      </c>
      <c r="D3291" s="7"/>
      <c r="E3291" s="34">
        <f>F3276+F3288+F3289+F3290</f>
        <v>403.57394366</v>
      </c>
      <c r="F3291" s="69">
        <f>E3291*C3291</f>
        <v>36.3216549294</v>
      </c>
      <c r="G3291" s="7" t="s">
        <v>121</v>
      </c>
      <c r="H3291" s="7" t="s">
        <v>849</v>
      </c>
      <c r="I3291" s="231">
        <f>C3291</f>
        <v>0.09</v>
      </c>
      <c r="J3291" s="7"/>
      <c r="K3291" s="34">
        <f>L3276+L3288+L3289+L3290</f>
        <v>920.35499492</v>
      </c>
      <c r="L3291" s="69">
        <f>K3291*I3291</f>
        <v>82.8319495428</v>
      </c>
    </row>
    <row r="3292" ht="15" customHeight="1" spans="1:17">
      <c r="A3292" s="7"/>
      <c r="B3292" s="7" t="s">
        <v>850</v>
      </c>
      <c r="C3292" s="231"/>
      <c r="D3292" s="7"/>
      <c r="E3292" s="34"/>
      <c r="F3292" s="69">
        <f>(F3276+F3288+F3290+F3289+F3291)*取费表!H4</f>
        <v>13.196867957682</v>
      </c>
      <c r="G3292" s="7"/>
      <c r="H3292" s="7" t="s">
        <v>850</v>
      </c>
      <c r="I3292" s="231"/>
      <c r="J3292" s="7"/>
      <c r="K3292" s="34"/>
      <c r="L3292" s="69">
        <f>(L3276+L3288+L3289+L3291)*取费表!H12</f>
        <v>12.096808333884</v>
      </c>
      <c r="P3292" s="223">
        <f>2.48+3.45</f>
        <v>5.93</v>
      </c>
      <c r="Q3292" s="223">
        <f>P3292/2</f>
        <v>2.965</v>
      </c>
    </row>
    <row r="3293" ht="15" customHeight="1" spans="1:12">
      <c r="A3293" s="7"/>
      <c r="B3293" s="7" t="s">
        <v>156</v>
      </c>
      <c r="C3293" s="7"/>
      <c r="D3293" s="7"/>
      <c r="E3293" s="7"/>
      <c r="F3293" s="69">
        <f>F3291+E3291+F3292</f>
        <v>453.092466547082</v>
      </c>
      <c r="G3293" s="7"/>
      <c r="H3293" s="7" t="s">
        <v>156</v>
      </c>
      <c r="I3293" s="7"/>
      <c r="J3293" s="7"/>
      <c r="K3293" s="7"/>
      <c r="L3293" s="69">
        <f>L3291+K3291+L3292</f>
        <v>1015.28375279668</v>
      </c>
    </row>
    <row r="3294" ht="15" customHeight="1" spans="1:6">
      <c r="A3294" s="248" t="s">
        <v>881</v>
      </c>
      <c r="B3294" s="225"/>
      <c r="C3294" s="225"/>
      <c r="D3294" s="225"/>
      <c r="E3294" s="225"/>
      <c r="F3294" s="225"/>
    </row>
    <row r="3295" ht="15" customHeight="1" spans="1:6">
      <c r="A3295" s="249" t="s">
        <v>1168</v>
      </c>
      <c r="B3295" s="229"/>
      <c r="C3295" s="229"/>
      <c r="D3295" s="229"/>
      <c r="E3295" s="229"/>
      <c r="F3295" s="229"/>
    </row>
    <row r="3296" ht="15" customHeight="1" spans="1:6">
      <c r="A3296" s="228" t="s">
        <v>1177</v>
      </c>
      <c r="B3296" s="228"/>
      <c r="C3296" s="229"/>
      <c r="D3296" s="229"/>
      <c r="E3296" s="228" t="s">
        <v>857</v>
      </c>
      <c r="F3296" s="228"/>
    </row>
    <row r="3297" ht="15" customHeight="1" spans="1:6">
      <c r="A3297" s="232" t="s">
        <v>1178</v>
      </c>
      <c r="B3297" s="234"/>
      <c r="C3297" s="233"/>
      <c r="D3297" s="233"/>
      <c r="E3297" s="233"/>
      <c r="F3297" s="147"/>
    </row>
    <row r="3298" ht="15" customHeight="1" spans="1:6">
      <c r="A3298" s="7" t="s">
        <v>104</v>
      </c>
      <c r="B3298" s="7" t="s">
        <v>835</v>
      </c>
      <c r="C3298" s="7" t="s">
        <v>159</v>
      </c>
      <c r="D3298" s="7" t="s">
        <v>422</v>
      </c>
      <c r="E3298" s="7" t="s">
        <v>160</v>
      </c>
      <c r="F3298" s="7" t="s">
        <v>18</v>
      </c>
    </row>
    <row r="3299" ht="15" customHeight="1" spans="1:6">
      <c r="A3299" s="7" t="s">
        <v>836</v>
      </c>
      <c r="B3299" s="7" t="s">
        <v>837</v>
      </c>
      <c r="C3299" s="7"/>
      <c r="D3299" s="7"/>
      <c r="E3299" s="7"/>
      <c r="F3299" s="34">
        <f>F3300+F3309+F3310</f>
        <v>284.51104</v>
      </c>
    </row>
    <row r="3300" ht="15" customHeight="1" spans="1:6">
      <c r="A3300" s="7" t="s">
        <v>539</v>
      </c>
      <c r="B3300" s="7" t="s">
        <v>838</v>
      </c>
      <c r="C3300" s="7"/>
      <c r="D3300" s="7"/>
      <c r="E3300" s="7"/>
      <c r="F3300" s="34">
        <f>F3301+F3304+F3308</f>
        <v>271.48</v>
      </c>
    </row>
    <row r="3301" ht="15" customHeight="1" spans="1:6">
      <c r="A3301" s="7">
        <v>1</v>
      </c>
      <c r="B3301" s="7" t="s">
        <v>839</v>
      </c>
      <c r="C3301" s="7" t="s">
        <v>840</v>
      </c>
      <c r="D3301" s="69"/>
      <c r="E3301" s="69">
        <f>SUM(E3302:E3303)</f>
        <v>34</v>
      </c>
      <c r="F3301" s="69">
        <f>SUM(F3302:F3303)</f>
        <v>219.48</v>
      </c>
    </row>
    <row r="3302" ht="15" customHeight="1" spans="1:6">
      <c r="A3302" s="7"/>
      <c r="B3302" s="7" t="s">
        <v>841</v>
      </c>
      <c r="C3302" s="7" t="s">
        <v>840</v>
      </c>
      <c r="D3302" s="69">
        <f>D3279</f>
        <v>8.1</v>
      </c>
      <c r="E3302" s="69">
        <v>10</v>
      </c>
      <c r="F3302" s="69">
        <f>D3302*E3302</f>
        <v>81</v>
      </c>
    </row>
    <row r="3303" ht="15" customHeight="1" spans="1:6">
      <c r="A3303" s="7"/>
      <c r="B3303" s="7" t="s">
        <v>842</v>
      </c>
      <c r="C3303" s="7" t="s">
        <v>840</v>
      </c>
      <c r="D3303" s="69">
        <f>D3280</f>
        <v>5.77</v>
      </c>
      <c r="E3303" s="69">
        <v>24</v>
      </c>
      <c r="F3303" s="69">
        <f>D3303*E3303</f>
        <v>138.48</v>
      </c>
    </row>
    <row r="3304" ht="15" customHeight="1" spans="1:6">
      <c r="A3304" s="7">
        <v>2</v>
      </c>
      <c r="B3304" s="7" t="s">
        <v>912</v>
      </c>
      <c r="C3304" s="279"/>
      <c r="D3304" s="7"/>
      <c r="E3304" s="7"/>
      <c r="F3304" s="69">
        <f>SUM(F3305:F3307)</f>
        <v>52</v>
      </c>
    </row>
    <row r="3305" ht="15" customHeight="1" spans="1:6">
      <c r="A3305" s="7"/>
      <c r="B3305" s="7" t="s">
        <v>1174</v>
      </c>
      <c r="C3305" s="9" t="s">
        <v>1173</v>
      </c>
      <c r="D3305" s="38"/>
      <c r="E3305" s="7">
        <v>106</v>
      </c>
      <c r="F3305" s="69">
        <f>D3305*E3305</f>
        <v>0</v>
      </c>
    </row>
    <row r="3306" ht="15" customHeight="1" spans="1:6">
      <c r="A3306" s="7"/>
      <c r="B3306" s="7" t="s">
        <v>1175</v>
      </c>
      <c r="C3306" s="9" t="s">
        <v>863</v>
      </c>
      <c r="D3306" s="38">
        <v>25</v>
      </c>
      <c r="E3306" s="7">
        <v>2</v>
      </c>
      <c r="F3306" s="69">
        <f>D3306*E3306</f>
        <v>50</v>
      </c>
    </row>
    <row r="3307" ht="15" customHeight="1" spans="1:6">
      <c r="A3307" s="7"/>
      <c r="B3307" s="7" t="s">
        <v>952</v>
      </c>
      <c r="C3307" s="9" t="s">
        <v>845</v>
      </c>
      <c r="D3307" s="69">
        <f>SUM(F3305:F3306)</f>
        <v>50</v>
      </c>
      <c r="E3307" s="7">
        <v>4</v>
      </c>
      <c r="F3307" s="69">
        <f>D3307*E3307/100</f>
        <v>2</v>
      </c>
    </row>
    <row r="3308" ht="15" customHeight="1" spans="1:6">
      <c r="A3308" s="7">
        <v>3</v>
      </c>
      <c r="B3308" s="7" t="s">
        <v>843</v>
      </c>
      <c r="C3308" s="9"/>
      <c r="D3308" s="69"/>
      <c r="E3308" s="7"/>
      <c r="F3308" s="69">
        <v>0</v>
      </c>
    </row>
    <row r="3309" ht="15" customHeight="1" spans="1:6">
      <c r="A3309" s="7" t="s">
        <v>564</v>
      </c>
      <c r="B3309" s="7" t="s">
        <v>846</v>
      </c>
      <c r="C3309" s="230">
        <f>C3286</f>
        <v>0.048</v>
      </c>
      <c r="D3309" s="69"/>
      <c r="E3309" s="34">
        <f>F3300</f>
        <v>271.48</v>
      </c>
      <c r="F3309" s="69">
        <f>E3309*C3309</f>
        <v>13.03104</v>
      </c>
    </row>
    <row r="3310" ht="15" customHeight="1" spans="1:6">
      <c r="A3310" s="7"/>
      <c r="B3310" s="7"/>
      <c r="C3310" s="230"/>
      <c r="D3310" s="69"/>
      <c r="E3310" s="34"/>
      <c r="F3310" s="69"/>
    </row>
    <row r="3311" ht="15" customHeight="1" spans="1:6">
      <c r="A3311" s="7" t="s">
        <v>439</v>
      </c>
      <c r="B3311" s="7" t="s">
        <v>847</v>
      </c>
      <c r="C3311" s="230">
        <f>C3288</f>
        <v>0.0725</v>
      </c>
      <c r="D3311" s="69"/>
      <c r="E3311" s="38">
        <f>F3299</f>
        <v>284.51104</v>
      </c>
      <c r="F3311" s="69">
        <f>E3311*C3311</f>
        <v>20.6270504</v>
      </c>
    </row>
    <row r="3312" ht="15" customHeight="1" spans="1:6">
      <c r="A3312" s="7" t="s">
        <v>83</v>
      </c>
      <c r="B3312" s="7" t="s">
        <v>848</v>
      </c>
      <c r="C3312" s="230">
        <f>C3289</f>
        <v>0.05</v>
      </c>
      <c r="D3312" s="69"/>
      <c r="E3312" s="34">
        <f>F3311+F3299</f>
        <v>305.1380904</v>
      </c>
      <c r="F3312" s="69">
        <f>E3312*C3312</f>
        <v>15.25690452</v>
      </c>
    </row>
    <row r="3313" ht="15" customHeight="1" spans="1:6">
      <c r="A3313" s="7"/>
      <c r="B3313" s="7" t="s">
        <v>1174</v>
      </c>
      <c r="C3313" s="9" t="s">
        <v>1173</v>
      </c>
      <c r="D3313" s="38">
        <v>10.75</v>
      </c>
      <c r="E3313" s="7">
        <v>106</v>
      </c>
      <c r="F3313" s="69">
        <f>D3313*E3313</f>
        <v>1139.5</v>
      </c>
    </row>
    <row r="3314" ht="15" customHeight="1" spans="1:6">
      <c r="A3314" s="7" t="s">
        <v>121</v>
      </c>
      <c r="B3314" s="7" t="s">
        <v>849</v>
      </c>
      <c r="C3314" s="231">
        <f>C3291</f>
        <v>0.09</v>
      </c>
      <c r="D3314" s="7"/>
      <c r="E3314" s="34">
        <f>F3299+F3311+F3312+F3313</f>
        <v>1459.89499492</v>
      </c>
      <c r="F3314" s="69">
        <f>E3314*C3314</f>
        <v>131.3905495428</v>
      </c>
    </row>
    <row r="3315" ht="15" customHeight="1" spans="1:6">
      <c r="A3315" s="7"/>
      <c r="B3315" s="7" t="s">
        <v>850</v>
      </c>
      <c r="C3315" s="231"/>
      <c r="D3315" s="7"/>
      <c r="E3315" s="34"/>
      <c r="F3315" s="69">
        <f>(F3299+F3311+F3312+F3314)*取费表!H7</f>
        <v>13.553566333884</v>
      </c>
    </row>
    <row r="3316" ht="15" customHeight="1" spans="1:6">
      <c r="A3316" s="7"/>
      <c r="B3316" s="7" t="s">
        <v>156</v>
      </c>
      <c r="C3316" s="7"/>
      <c r="D3316" s="7"/>
      <c r="E3316" s="7"/>
      <c r="F3316" s="69">
        <f>F3314+E3314+F3315</f>
        <v>1604.83911079668</v>
      </c>
    </row>
    <row r="3317" ht="17.1" customHeight="1" spans="1:6">
      <c r="A3317" s="248" t="s">
        <v>881</v>
      </c>
      <c r="B3317" s="225"/>
      <c r="C3317" s="225"/>
      <c r="D3317" s="225"/>
      <c r="E3317" s="225"/>
      <c r="F3317" s="225"/>
    </row>
    <row r="3318" ht="17.1" customHeight="1" spans="1:6">
      <c r="A3318" s="278" t="s">
        <v>1179</v>
      </c>
      <c r="B3318" s="272"/>
      <c r="C3318" s="272"/>
      <c r="D3318" s="272"/>
      <c r="E3318" s="272"/>
      <c r="F3318" s="272"/>
    </row>
    <row r="3319" ht="17.1" customHeight="1" spans="1:6">
      <c r="A3319" s="228" t="s">
        <v>1180</v>
      </c>
      <c r="B3319" s="228"/>
      <c r="C3319" s="229"/>
      <c r="D3319" s="229"/>
      <c r="E3319" s="228" t="s">
        <v>1181</v>
      </c>
      <c r="F3319" s="228"/>
    </row>
    <row r="3320" ht="17.1" customHeight="1" spans="1:6">
      <c r="A3320" s="146" t="s">
        <v>1182</v>
      </c>
      <c r="B3320" s="233"/>
      <c r="C3320" s="233"/>
      <c r="D3320" s="233"/>
      <c r="E3320" s="233"/>
      <c r="F3320" s="147"/>
    </row>
    <row r="3321" ht="17.1" customHeight="1" spans="1:6">
      <c r="A3321" s="7" t="s">
        <v>104</v>
      </c>
      <c r="B3321" s="7" t="s">
        <v>835</v>
      </c>
      <c r="C3321" s="7" t="s">
        <v>159</v>
      </c>
      <c r="D3321" s="7" t="s">
        <v>422</v>
      </c>
      <c r="E3321" s="7" t="s">
        <v>160</v>
      </c>
      <c r="F3321" s="7" t="s">
        <v>18</v>
      </c>
    </row>
    <row r="3322" ht="17.1" customHeight="1" spans="1:6">
      <c r="A3322" s="7" t="s">
        <v>836</v>
      </c>
      <c r="B3322" s="7" t="s">
        <v>837</v>
      </c>
      <c r="C3322" s="7"/>
      <c r="D3322" s="7"/>
      <c r="E3322" s="7"/>
      <c r="F3322" s="34">
        <f>F3323+F3339+F3340</f>
        <v>6561.14888761107</v>
      </c>
    </row>
    <row r="3323" ht="17.1" customHeight="1" spans="1:6">
      <c r="A3323" s="7" t="s">
        <v>539</v>
      </c>
      <c r="B3323" s="7" t="s">
        <v>838</v>
      </c>
      <c r="C3323" s="7"/>
      <c r="D3323" s="7"/>
      <c r="E3323" s="7"/>
      <c r="F3323" s="34">
        <f>F3324+F3327+F3335</f>
        <v>6260.63825153728</v>
      </c>
    </row>
    <row r="3324" ht="17.1" customHeight="1" spans="1:6">
      <c r="A3324" s="7">
        <v>1</v>
      </c>
      <c r="B3324" s="7" t="s">
        <v>839</v>
      </c>
      <c r="C3324" s="7" t="s">
        <v>840</v>
      </c>
      <c r="D3324" s="34"/>
      <c r="E3324" s="69">
        <f>SUM(E3325:E3326)</f>
        <v>278.9</v>
      </c>
      <c r="F3324" s="69">
        <f>SUM(F3325:F3326)</f>
        <v>2064.069</v>
      </c>
    </row>
    <row r="3325" ht="17.1" customHeight="1" spans="1:6">
      <c r="A3325" s="7"/>
      <c r="B3325" s="7" t="s">
        <v>841</v>
      </c>
      <c r="C3325" s="7" t="s">
        <v>840</v>
      </c>
      <c r="D3325" s="69">
        <f>D3302</f>
        <v>8.1</v>
      </c>
      <c r="E3325" s="69">
        <v>195.2</v>
      </c>
      <c r="F3325" s="69">
        <f>D3325*E3325</f>
        <v>1581.12</v>
      </c>
    </row>
    <row r="3326" ht="17.1" customHeight="1" spans="1:6">
      <c r="A3326" s="7"/>
      <c r="B3326" s="7" t="s">
        <v>842</v>
      </c>
      <c r="C3326" s="7" t="s">
        <v>840</v>
      </c>
      <c r="D3326" s="69">
        <f>D3303</f>
        <v>5.77</v>
      </c>
      <c r="E3326" s="69">
        <v>83.7</v>
      </c>
      <c r="F3326" s="69">
        <f>D3326*E3326</f>
        <v>482.949</v>
      </c>
    </row>
    <row r="3327" ht="17.1" customHeight="1" spans="1:6">
      <c r="A3327" s="7">
        <v>2</v>
      </c>
      <c r="B3327" s="7" t="s">
        <v>912</v>
      </c>
      <c r="C3327" s="7"/>
      <c r="D3327" s="34"/>
      <c r="E3327" s="34"/>
      <c r="F3327" s="34">
        <f>SUM(F3328:F3334)</f>
        <v>3757.56513985</v>
      </c>
    </row>
    <row r="3328" ht="17.1" customHeight="1" spans="1:6">
      <c r="A3328" s="7"/>
      <c r="B3328" s="7" t="s">
        <v>1183</v>
      </c>
      <c r="C3328" s="7" t="s">
        <v>1184</v>
      </c>
      <c r="D3328" s="69"/>
      <c r="E3328" s="9">
        <v>100</v>
      </c>
      <c r="F3328" s="34">
        <f t="shared" ref="F3328:F3333" si="223">D3328*E3328</f>
        <v>0</v>
      </c>
    </row>
    <row r="3329" ht="17.1" customHeight="1" spans="1:6">
      <c r="A3329" s="7"/>
      <c r="B3329" s="7" t="s">
        <v>1185</v>
      </c>
      <c r="C3329" s="7" t="s">
        <v>363</v>
      </c>
      <c r="D3329" s="7">
        <v>51.28</v>
      </c>
      <c r="E3329" s="9">
        <v>21</v>
      </c>
      <c r="F3329" s="34">
        <f t="shared" si="223"/>
        <v>1076.88</v>
      </c>
    </row>
    <row r="3330" ht="17.1" customHeight="1" spans="1:6">
      <c r="A3330" s="7"/>
      <c r="B3330" s="7" t="s">
        <v>1186</v>
      </c>
      <c r="C3330" s="7" t="s">
        <v>1187</v>
      </c>
      <c r="D3330" s="38">
        <f>配合比!M15</f>
        <v>144.54347</v>
      </c>
      <c r="E3330" s="7">
        <v>1</v>
      </c>
      <c r="F3330" s="34">
        <f t="shared" si="223"/>
        <v>144.54347</v>
      </c>
    </row>
    <row r="3331" ht="17.1" customHeight="1" spans="1:6">
      <c r="A3331" s="7"/>
      <c r="B3331" s="7" t="s">
        <v>998</v>
      </c>
      <c r="C3331" s="7" t="s">
        <v>863</v>
      </c>
      <c r="D3331" s="34">
        <f>D1880</f>
        <v>4.5</v>
      </c>
      <c r="E3331" s="9">
        <v>6</v>
      </c>
      <c r="F3331" s="34">
        <f t="shared" si="223"/>
        <v>27</v>
      </c>
    </row>
    <row r="3332" ht="17.1" customHeight="1" spans="1:6">
      <c r="A3332" s="7"/>
      <c r="B3332" s="7" t="s">
        <v>1136</v>
      </c>
      <c r="C3332" s="7" t="s">
        <v>863</v>
      </c>
      <c r="D3332" s="34">
        <f>7.03</f>
        <v>7.03</v>
      </c>
      <c r="E3332" s="9">
        <v>23</v>
      </c>
      <c r="F3332" s="34">
        <f t="shared" si="223"/>
        <v>161.69</v>
      </c>
    </row>
    <row r="3333" ht="17.1" customHeight="1" spans="1:6">
      <c r="A3333" s="7"/>
      <c r="B3333" s="7" t="s">
        <v>996</v>
      </c>
      <c r="C3333" s="7" t="s">
        <v>1187</v>
      </c>
      <c r="D3333" s="34">
        <f>材料预算价!K10</f>
        <v>2238.008025</v>
      </c>
      <c r="E3333" s="9">
        <v>1</v>
      </c>
      <c r="F3333" s="34">
        <f t="shared" si="223"/>
        <v>2238.008025</v>
      </c>
    </row>
    <row r="3334" ht="17.1" customHeight="1" spans="1:6">
      <c r="A3334" s="7"/>
      <c r="B3334" s="7" t="s">
        <v>952</v>
      </c>
      <c r="C3334" s="9" t="s">
        <v>845</v>
      </c>
      <c r="D3334" s="34">
        <f>SUM(F3328:F3333)</f>
        <v>3648.121495</v>
      </c>
      <c r="E3334" s="9">
        <v>3</v>
      </c>
      <c r="F3334" s="34">
        <f>D3334*E3334/100</f>
        <v>109.44364485</v>
      </c>
    </row>
    <row r="3335" ht="17.1" customHeight="1" spans="1:6">
      <c r="A3335" s="7">
        <v>3</v>
      </c>
      <c r="B3335" s="7" t="s">
        <v>859</v>
      </c>
      <c r="C3335" s="7"/>
      <c r="D3335" s="34"/>
      <c r="E3335" s="34"/>
      <c r="F3335" s="34">
        <f>SUM(F3336:F3338)</f>
        <v>439.004111687276</v>
      </c>
    </row>
    <row r="3336" ht="17.1" customHeight="1" spans="1:6">
      <c r="A3336" s="7"/>
      <c r="B3336" s="7" t="s">
        <v>1188</v>
      </c>
      <c r="C3336" s="7" t="s">
        <v>428</v>
      </c>
      <c r="D3336" s="34">
        <f>台时!G210</f>
        <v>13.137592341444</v>
      </c>
      <c r="E3336" s="34">
        <v>20</v>
      </c>
      <c r="F3336" s="34">
        <f>D3336*E3336</f>
        <v>262.751846828879</v>
      </c>
    </row>
    <row r="3337" ht="17.1" customHeight="1" spans="1:6">
      <c r="A3337" s="7"/>
      <c r="B3337" s="7" t="s">
        <v>1189</v>
      </c>
      <c r="C3337" s="7" t="s">
        <v>428</v>
      </c>
      <c r="D3337" s="34">
        <f>台时!E105</f>
        <v>3.89550857598724</v>
      </c>
      <c r="E3337" s="34">
        <v>35</v>
      </c>
      <c r="F3337" s="34">
        <f>D3337*E3337</f>
        <v>136.342800159553</v>
      </c>
    </row>
    <row r="3338" ht="17.1" customHeight="1" spans="1:6">
      <c r="A3338" s="7"/>
      <c r="B3338" s="7" t="s">
        <v>918</v>
      </c>
      <c r="C3338" s="9" t="s">
        <v>845</v>
      </c>
      <c r="D3338" s="34">
        <f>SUM(F3336:F3337)</f>
        <v>399.094646988432</v>
      </c>
      <c r="E3338" s="34">
        <v>10</v>
      </c>
      <c r="F3338" s="34">
        <f>D3338*E3338/100</f>
        <v>39.9094646988432</v>
      </c>
    </row>
    <row r="3339" ht="17.1" customHeight="1" spans="1:6">
      <c r="A3339" s="7" t="s">
        <v>564</v>
      </c>
      <c r="B3339" s="7" t="s">
        <v>846</v>
      </c>
      <c r="C3339" s="230">
        <f>取费表!$C$12</f>
        <v>0.048</v>
      </c>
      <c r="D3339" s="34"/>
      <c r="E3339" s="34">
        <f>F3323</f>
        <v>6260.63825153728</v>
      </c>
      <c r="F3339" s="34">
        <f>E3339*C3339</f>
        <v>300.510636073789</v>
      </c>
    </row>
    <row r="3340" ht="17.1" customHeight="1" spans="1:6">
      <c r="A3340" s="7"/>
      <c r="B3340" s="7"/>
      <c r="C3340" s="230"/>
      <c r="D3340" s="34"/>
      <c r="E3340" s="34"/>
      <c r="F3340" s="34"/>
    </row>
    <row r="3341" ht="17.1" customHeight="1" spans="1:6">
      <c r="A3341" s="7" t="s">
        <v>439</v>
      </c>
      <c r="B3341" s="7" t="s">
        <v>847</v>
      </c>
      <c r="C3341" s="230">
        <f>取费表!$E$12</f>
        <v>0.0725</v>
      </c>
      <c r="D3341" s="34"/>
      <c r="E3341" s="34">
        <f>F3322</f>
        <v>6561.14888761107</v>
      </c>
      <c r="F3341" s="34">
        <f>E3341*C3341</f>
        <v>475.683294351802</v>
      </c>
    </row>
    <row r="3342" ht="17.1" customHeight="1" spans="1:6">
      <c r="A3342" s="7" t="s">
        <v>83</v>
      </c>
      <c r="B3342" s="7" t="s">
        <v>848</v>
      </c>
      <c r="C3342" s="230">
        <f>取费表!$F$12</f>
        <v>0.05</v>
      </c>
      <c r="D3342" s="34"/>
      <c r="E3342" s="34">
        <f>F3341+F3322</f>
        <v>7036.83218196287</v>
      </c>
      <c r="F3342" s="34">
        <f>E3342*C3342</f>
        <v>351.841609098143</v>
      </c>
    </row>
    <row r="3343" ht="17.1" customHeight="1" spans="1:6">
      <c r="A3343" s="7"/>
      <c r="B3343" s="7" t="s">
        <v>1190</v>
      </c>
      <c r="C3343" s="257"/>
      <c r="D3343" s="34"/>
      <c r="E3343" s="34"/>
      <c r="F3343" s="34">
        <f>F3344+F3345</f>
        <v>22222</v>
      </c>
    </row>
    <row r="3344" ht="17.1" customHeight="1" spans="1:6">
      <c r="A3344" s="7"/>
      <c r="B3344" s="7" t="s">
        <v>1183</v>
      </c>
      <c r="C3344" s="7" t="s">
        <v>1184</v>
      </c>
      <c r="D3344" s="34">
        <v>222.22</v>
      </c>
      <c r="E3344" s="34">
        <v>100</v>
      </c>
      <c r="F3344" s="34">
        <f>D3344*E3344</f>
        <v>22222</v>
      </c>
    </row>
    <row r="3345" ht="17.1" customHeight="1" spans="1:6">
      <c r="A3345" s="7"/>
      <c r="B3345" s="7"/>
      <c r="C3345" s="7"/>
      <c r="D3345" s="34"/>
      <c r="E3345" s="34"/>
      <c r="F3345" s="34"/>
    </row>
    <row r="3346" ht="17.1" customHeight="1" spans="1:6">
      <c r="A3346" s="7" t="s">
        <v>121</v>
      </c>
      <c r="B3346" s="7" t="s">
        <v>849</v>
      </c>
      <c r="C3346" s="231">
        <f>C3314</f>
        <v>0.09</v>
      </c>
      <c r="D3346" s="34"/>
      <c r="E3346" s="34">
        <f>E3342+F3342+F3343</f>
        <v>29610.673791061</v>
      </c>
      <c r="F3346" s="34">
        <f>E3346*C3346</f>
        <v>2664.96064119549</v>
      </c>
    </row>
    <row r="3347" ht="17.1" customHeight="1" spans="1:6">
      <c r="A3347" s="7"/>
      <c r="B3347" s="7" t="s">
        <v>850</v>
      </c>
      <c r="C3347" s="231"/>
      <c r="D3347" s="34"/>
      <c r="E3347" s="34"/>
      <c r="F3347" s="34">
        <f>(E3346+F3346)*取费表!H12</f>
        <v>968.269032967695</v>
      </c>
    </row>
    <row r="3348" ht="17.1" customHeight="1" spans="1:6">
      <c r="A3348" s="7"/>
      <c r="B3348" s="7" t="s">
        <v>156</v>
      </c>
      <c r="C3348" s="7"/>
      <c r="D3348" s="34"/>
      <c r="E3348" s="34"/>
      <c r="F3348" s="34">
        <f>E3346+F3346+F3347</f>
        <v>33243.9034652242</v>
      </c>
    </row>
    <row r="3349" ht="17.1" customHeight="1" spans="1:6">
      <c r="A3349" s="7"/>
      <c r="B3349" s="7"/>
      <c r="C3349" s="7"/>
      <c r="D3349" s="34"/>
      <c r="E3349" s="34"/>
      <c r="F3349" s="34"/>
    </row>
    <row r="3350" ht="17.1" customHeight="1" spans="1:6">
      <c r="A3350" s="7"/>
      <c r="B3350" s="7"/>
      <c r="C3350" s="7"/>
      <c r="D3350" s="34"/>
      <c r="E3350" s="34"/>
      <c r="F3350" s="34"/>
    </row>
    <row r="3351" ht="17.1" customHeight="1" spans="1:6">
      <c r="A3351" s="7"/>
      <c r="B3351" s="7"/>
      <c r="C3351" s="7"/>
      <c r="D3351" s="34"/>
      <c r="E3351" s="34"/>
      <c r="F3351" s="34"/>
    </row>
    <row r="3352" ht="17.1" customHeight="1" spans="1:6">
      <c r="A3352" s="7"/>
      <c r="B3352" s="7"/>
      <c r="C3352" s="7"/>
      <c r="D3352" s="34"/>
      <c r="E3352" s="34"/>
      <c r="F3352" s="34"/>
    </row>
    <row r="3353" ht="17.1" customHeight="1" spans="1:6">
      <c r="A3353" s="7"/>
      <c r="B3353" s="7"/>
      <c r="C3353" s="7"/>
      <c r="D3353" s="34"/>
      <c r="E3353" s="34"/>
      <c r="F3353" s="34"/>
    </row>
    <row r="3354" ht="17.1" customHeight="1" spans="1:6">
      <c r="A3354" s="7"/>
      <c r="B3354" s="7"/>
      <c r="C3354" s="7"/>
      <c r="D3354" s="34"/>
      <c r="E3354" s="34"/>
      <c r="F3354" s="34"/>
    </row>
    <row r="3355" ht="17.1" customHeight="1" spans="1:6">
      <c r="A3355" s="7"/>
      <c r="B3355" s="7"/>
      <c r="C3355" s="7"/>
      <c r="D3355" s="34"/>
      <c r="E3355" s="34"/>
      <c r="F3355" s="34"/>
    </row>
    <row r="3356" ht="17.1" customHeight="1" spans="1:6">
      <c r="A3356" s="7"/>
      <c r="B3356" s="7"/>
      <c r="C3356" s="7"/>
      <c r="D3356" s="34"/>
      <c r="E3356" s="34"/>
      <c r="F3356" s="34"/>
    </row>
    <row r="3357" ht="17.1" customHeight="1" spans="1:6">
      <c r="A3357" s="248" t="s">
        <v>881</v>
      </c>
      <c r="B3357" s="225"/>
      <c r="C3357" s="225"/>
      <c r="D3357" s="225"/>
      <c r="E3357" s="225"/>
      <c r="F3357" s="225"/>
    </row>
    <row r="3358" ht="17.1" customHeight="1" spans="1:6">
      <c r="A3358" s="278" t="s">
        <v>1191</v>
      </c>
      <c r="B3358" s="272"/>
      <c r="C3358" s="272"/>
      <c r="D3358" s="272"/>
      <c r="E3358" s="272"/>
      <c r="F3358" s="272"/>
    </row>
    <row r="3359" ht="17.1" customHeight="1" spans="1:6">
      <c r="A3359" s="228" t="s">
        <v>1192</v>
      </c>
      <c r="B3359" s="228"/>
      <c r="C3359" s="229"/>
      <c r="D3359" s="229"/>
      <c r="E3359" s="228" t="s">
        <v>1181</v>
      </c>
      <c r="F3359" s="228"/>
    </row>
    <row r="3360" ht="17.1" customHeight="1" spans="1:6">
      <c r="A3360" s="146" t="s">
        <v>1182</v>
      </c>
      <c r="B3360" s="233"/>
      <c r="C3360" s="233"/>
      <c r="D3360" s="233"/>
      <c r="E3360" s="233"/>
      <c r="F3360" s="147"/>
    </row>
    <row r="3361" ht="17.1" customHeight="1" spans="1:6">
      <c r="A3361" s="7" t="s">
        <v>104</v>
      </c>
      <c r="B3361" s="7" t="s">
        <v>835</v>
      </c>
      <c r="C3361" s="7" t="s">
        <v>159</v>
      </c>
      <c r="D3361" s="7" t="s">
        <v>422</v>
      </c>
      <c r="E3361" s="7" t="s">
        <v>160</v>
      </c>
      <c r="F3361" s="7" t="s">
        <v>18</v>
      </c>
    </row>
    <row r="3362" ht="17.1" customHeight="1" spans="1:6">
      <c r="A3362" s="7" t="s">
        <v>836</v>
      </c>
      <c r="B3362" s="7" t="s">
        <v>837</v>
      </c>
      <c r="C3362" s="7"/>
      <c r="D3362" s="7"/>
      <c r="E3362" s="7"/>
      <c r="F3362" s="34">
        <f>F3363+F3379+F3380</f>
        <v>10147.7846920913</v>
      </c>
    </row>
    <row r="3363" ht="17.1" customHeight="1" spans="1:6">
      <c r="A3363" s="7" t="s">
        <v>539</v>
      </c>
      <c r="B3363" s="7" t="s">
        <v>838</v>
      </c>
      <c r="C3363" s="7"/>
      <c r="D3363" s="7"/>
      <c r="E3363" s="7"/>
      <c r="F3363" s="34">
        <f>F3364+F3367+F3375</f>
        <v>9683.00066039248</v>
      </c>
    </row>
    <row r="3364" ht="17.1" customHeight="1" spans="1:6">
      <c r="A3364" s="7">
        <v>1</v>
      </c>
      <c r="B3364" s="7" t="s">
        <v>839</v>
      </c>
      <c r="C3364" s="7" t="s">
        <v>840</v>
      </c>
      <c r="D3364" s="34"/>
      <c r="E3364" s="69">
        <f>SUM(E3365:E3366)</f>
        <v>531.2</v>
      </c>
      <c r="F3364" s="69">
        <f>SUM(F3365:F3366)</f>
        <v>3931.318</v>
      </c>
    </row>
    <row r="3365" ht="17.1" customHeight="1" spans="1:6">
      <c r="A3365" s="7"/>
      <c r="B3365" s="7" t="s">
        <v>841</v>
      </c>
      <c r="C3365" s="7" t="s">
        <v>840</v>
      </c>
      <c r="D3365" s="69">
        <f t="shared" ref="D3365:D3373" si="224">D3325</f>
        <v>8.1</v>
      </c>
      <c r="E3365" s="69">
        <v>371.8</v>
      </c>
      <c r="F3365" s="69">
        <f>D3365*E3365</f>
        <v>3011.58</v>
      </c>
    </row>
    <row r="3366" ht="17.1" customHeight="1" spans="1:6">
      <c r="A3366" s="7"/>
      <c r="B3366" s="7" t="s">
        <v>842</v>
      </c>
      <c r="C3366" s="7" t="s">
        <v>840</v>
      </c>
      <c r="D3366" s="69">
        <f t="shared" si="224"/>
        <v>5.77</v>
      </c>
      <c r="E3366" s="69">
        <v>159.4</v>
      </c>
      <c r="F3366" s="69">
        <f>D3366*E3366</f>
        <v>919.738</v>
      </c>
    </row>
    <row r="3367" ht="17.1" customHeight="1" spans="1:6">
      <c r="A3367" s="7">
        <v>2</v>
      </c>
      <c r="B3367" s="7" t="s">
        <v>912</v>
      </c>
      <c r="C3367" s="7"/>
      <c r="D3367" s="34"/>
      <c r="E3367" s="34"/>
      <c r="F3367" s="34">
        <f>SUM(F3368:F3374)</f>
        <v>4852.24913985</v>
      </c>
    </row>
    <row r="3368" ht="17.1" customHeight="1" spans="1:6">
      <c r="A3368" s="7"/>
      <c r="B3368" s="7" t="s">
        <v>1193</v>
      </c>
      <c r="C3368" s="7" t="s">
        <v>1184</v>
      </c>
      <c r="D3368" s="69"/>
      <c r="E3368" s="9">
        <v>100</v>
      </c>
      <c r="F3368" s="34">
        <f t="shared" ref="F3368:F3373" si="225">D3368*E3368</f>
        <v>0</v>
      </c>
    </row>
    <row r="3369" ht="17.1" customHeight="1" spans="1:6">
      <c r="A3369" s="7"/>
      <c r="B3369" s="7" t="s">
        <v>1185</v>
      </c>
      <c r="C3369" s="7" t="s">
        <v>363</v>
      </c>
      <c r="D3369" s="7">
        <v>97.35</v>
      </c>
      <c r="E3369" s="9">
        <v>21</v>
      </c>
      <c r="F3369" s="34">
        <f t="shared" si="225"/>
        <v>2044.35</v>
      </c>
    </row>
    <row r="3370" ht="17.1" customHeight="1" spans="1:6">
      <c r="A3370" s="7"/>
      <c r="B3370" s="7" t="s">
        <v>1186</v>
      </c>
      <c r="C3370" s="7" t="s">
        <v>1187</v>
      </c>
      <c r="D3370" s="38">
        <f t="shared" si="224"/>
        <v>144.54347</v>
      </c>
      <c r="E3370" s="7">
        <v>1</v>
      </c>
      <c r="F3370" s="34">
        <f t="shared" si="225"/>
        <v>144.54347</v>
      </c>
    </row>
    <row r="3371" ht="17.1" customHeight="1" spans="1:6">
      <c r="A3371" s="7"/>
      <c r="B3371" s="7" t="s">
        <v>998</v>
      </c>
      <c r="C3371" s="7" t="s">
        <v>863</v>
      </c>
      <c r="D3371" s="34">
        <f t="shared" si="224"/>
        <v>4.5</v>
      </c>
      <c r="E3371" s="9">
        <v>10</v>
      </c>
      <c r="F3371" s="34">
        <f t="shared" si="225"/>
        <v>45</v>
      </c>
    </row>
    <row r="3372" ht="17.1" customHeight="1" spans="1:6">
      <c r="A3372" s="7"/>
      <c r="B3372" s="7" t="s">
        <v>1136</v>
      </c>
      <c r="C3372" s="7" t="s">
        <v>863</v>
      </c>
      <c r="D3372" s="34">
        <f t="shared" si="224"/>
        <v>7.03</v>
      </c>
      <c r="E3372" s="9">
        <v>34</v>
      </c>
      <c r="F3372" s="34">
        <f t="shared" si="225"/>
        <v>239.02</v>
      </c>
    </row>
    <row r="3373" ht="17.1" customHeight="1" spans="1:6">
      <c r="A3373" s="7"/>
      <c r="B3373" s="7" t="s">
        <v>996</v>
      </c>
      <c r="C3373" s="7" t="s">
        <v>1187</v>
      </c>
      <c r="D3373" s="34">
        <f t="shared" si="224"/>
        <v>2238.008025</v>
      </c>
      <c r="E3373" s="9">
        <v>1</v>
      </c>
      <c r="F3373" s="34">
        <f t="shared" si="225"/>
        <v>2238.008025</v>
      </c>
    </row>
    <row r="3374" ht="17.1" customHeight="1" spans="1:6">
      <c r="A3374" s="7"/>
      <c r="B3374" s="7" t="s">
        <v>952</v>
      </c>
      <c r="C3374" s="9" t="s">
        <v>845</v>
      </c>
      <c r="D3374" s="34">
        <f>SUM(F3368:F3373)</f>
        <v>4710.921495</v>
      </c>
      <c r="E3374" s="9">
        <v>3</v>
      </c>
      <c r="F3374" s="34">
        <f>D3374*E3374/100</f>
        <v>141.32764485</v>
      </c>
    </row>
    <row r="3375" ht="17.1" customHeight="1" spans="1:6">
      <c r="A3375" s="7">
        <v>3</v>
      </c>
      <c r="B3375" s="7" t="s">
        <v>859</v>
      </c>
      <c r="C3375" s="7"/>
      <c r="D3375" s="34"/>
      <c r="E3375" s="34"/>
      <c r="F3375" s="34">
        <f>SUM(F3376:F3378)</f>
        <v>899.433520542481</v>
      </c>
    </row>
    <row r="3376" ht="17.1" customHeight="1" spans="1:6">
      <c r="A3376" s="7"/>
      <c r="B3376" s="7" t="s">
        <v>1188</v>
      </c>
      <c r="C3376" s="7" t="s">
        <v>428</v>
      </c>
      <c r="D3376" s="34">
        <f>D3336</f>
        <v>13.137592341444</v>
      </c>
      <c r="E3376" s="34">
        <v>40</v>
      </c>
      <c r="F3376" s="34">
        <f>D3376*E3376</f>
        <v>525.503693657758</v>
      </c>
    </row>
    <row r="3377" ht="17.1" customHeight="1" spans="1:6">
      <c r="A3377" s="7"/>
      <c r="B3377" s="7" t="s">
        <v>1189</v>
      </c>
      <c r="C3377" s="7" t="s">
        <v>428</v>
      </c>
      <c r="D3377" s="34">
        <f>D3337</f>
        <v>3.89550857598724</v>
      </c>
      <c r="E3377" s="34">
        <v>75</v>
      </c>
      <c r="F3377" s="34">
        <f>D3377*E3377</f>
        <v>292.163143199043</v>
      </c>
    </row>
    <row r="3378" ht="17.1" customHeight="1" spans="1:6">
      <c r="A3378" s="7"/>
      <c r="B3378" s="7" t="s">
        <v>918</v>
      </c>
      <c r="C3378" s="9" t="s">
        <v>845</v>
      </c>
      <c r="D3378" s="34">
        <f>SUM(F3376:F3377)</f>
        <v>817.666836856801</v>
      </c>
      <c r="E3378" s="34">
        <v>10</v>
      </c>
      <c r="F3378" s="34">
        <f>D3378*E3378/100</f>
        <v>81.7666836856801</v>
      </c>
    </row>
    <row r="3379" ht="17.1" customHeight="1" spans="1:6">
      <c r="A3379" s="7" t="s">
        <v>564</v>
      </c>
      <c r="B3379" s="7" t="s">
        <v>846</v>
      </c>
      <c r="C3379" s="230">
        <f>取费表!$C$12</f>
        <v>0.048</v>
      </c>
      <c r="D3379" s="34"/>
      <c r="E3379" s="34">
        <f>F3363</f>
        <v>9683.00066039248</v>
      </c>
      <c r="F3379" s="34">
        <f>E3379*C3379</f>
        <v>464.784031698839</v>
      </c>
    </row>
    <row r="3380" ht="17.1" customHeight="1" spans="1:6">
      <c r="A3380" s="7"/>
      <c r="B3380" s="7"/>
      <c r="C3380" s="230"/>
      <c r="D3380" s="34"/>
      <c r="E3380" s="34"/>
      <c r="F3380" s="34"/>
    </row>
    <row r="3381" ht="17.1" customHeight="1" spans="1:6">
      <c r="A3381" s="7" t="s">
        <v>439</v>
      </c>
      <c r="B3381" s="7" t="s">
        <v>847</v>
      </c>
      <c r="C3381" s="230">
        <f>取费表!$E$12</f>
        <v>0.0725</v>
      </c>
      <c r="D3381" s="34"/>
      <c r="E3381" s="34">
        <f>F3362</f>
        <v>10147.7846920913</v>
      </c>
      <c r="F3381" s="34">
        <f>E3381*C3381</f>
        <v>735.714390176621</v>
      </c>
    </row>
    <row r="3382" ht="17.1" customHeight="1" spans="1:6">
      <c r="A3382" s="7" t="s">
        <v>83</v>
      </c>
      <c r="B3382" s="7" t="s">
        <v>848</v>
      </c>
      <c r="C3382" s="230">
        <f>取费表!$F$12</f>
        <v>0.05</v>
      </c>
      <c r="D3382" s="34"/>
      <c r="E3382" s="34">
        <f>F3381+F3362</f>
        <v>10883.4990822679</v>
      </c>
      <c r="F3382" s="34">
        <f>E3382*C3382</f>
        <v>544.174954113397</v>
      </c>
    </row>
    <row r="3383" ht="17.1" customHeight="1" spans="1:6">
      <c r="A3383" s="7"/>
      <c r="B3383" s="7" t="s">
        <v>1190</v>
      </c>
      <c r="C3383" s="257"/>
      <c r="D3383" s="34"/>
      <c r="E3383" s="34"/>
      <c r="F3383" s="34">
        <f>F3384+F3385</f>
        <v>62655</v>
      </c>
    </row>
    <row r="3384" ht="17.1" customHeight="1" spans="1:6">
      <c r="A3384" s="7"/>
      <c r="B3384" s="7" t="s">
        <v>1194</v>
      </c>
      <c r="C3384" s="7" t="s">
        <v>1184</v>
      </c>
      <c r="D3384" s="34">
        <v>626.55</v>
      </c>
      <c r="E3384" s="34">
        <v>100</v>
      </c>
      <c r="F3384" s="34">
        <f>D3384*E3384</f>
        <v>62655</v>
      </c>
    </row>
    <row r="3385" ht="17.1" customHeight="1" spans="1:6">
      <c r="A3385" s="7"/>
      <c r="B3385" s="7"/>
      <c r="C3385" s="7"/>
      <c r="D3385" s="34"/>
      <c r="E3385" s="34"/>
      <c r="F3385" s="34"/>
    </row>
    <row r="3386" ht="17.1" customHeight="1" spans="1:6">
      <c r="A3386" s="7" t="s">
        <v>121</v>
      </c>
      <c r="B3386" s="7" t="s">
        <v>849</v>
      </c>
      <c r="C3386" s="231">
        <f>C3346</f>
        <v>0.09</v>
      </c>
      <c r="D3386" s="34"/>
      <c r="E3386" s="34">
        <f>E3382+F3382+F3383</f>
        <v>74082.6740363813</v>
      </c>
      <c r="F3386" s="34">
        <f>E3386*C3386</f>
        <v>6667.44066327432</v>
      </c>
    </row>
    <row r="3387" ht="17.1" customHeight="1" spans="1:6">
      <c r="A3387" s="7"/>
      <c r="B3387" s="7" t="s">
        <v>850</v>
      </c>
      <c r="C3387" s="231"/>
      <c r="D3387" s="34"/>
      <c r="E3387" s="34"/>
      <c r="F3387" s="34">
        <f>(E3386+F3386)*取费表!H12</f>
        <v>2422.50344098967</v>
      </c>
    </row>
    <row r="3388" ht="17.1" customHeight="1" spans="1:6">
      <c r="A3388" s="7"/>
      <c r="B3388" s="7" t="s">
        <v>156</v>
      </c>
      <c r="C3388" s="7"/>
      <c r="D3388" s="34"/>
      <c r="E3388" s="34"/>
      <c r="F3388" s="34">
        <f>E3386+F3386+F3387</f>
        <v>83172.6181406453</v>
      </c>
    </row>
    <row r="3389" ht="17.1" customHeight="1" spans="1:6">
      <c r="A3389" s="7"/>
      <c r="B3389" s="7"/>
      <c r="C3389" s="7"/>
      <c r="D3389" s="34"/>
      <c r="E3389" s="34"/>
      <c r="F3389" s="34"/>
    </row>
    <row r="3390" ht="17.1" customHeight="1" spans="1:6">
      <c r="A3390" s="7"/>
      <c r="B3390" s="7"/>
      <c r="C3390" s="7"/>
      <c r="D3390" s="34"/>
      <c r="E3390" s="34"/>
      <c r="F3390" s="34"/>
    </row>
    <row r="3391" ht="17.1" customHeight="1" spans="1:6">
      <c r="A3391" s="7"/>
      <c r="B3391" s="7"/>
      <c r="C3391" s="7"/>
      <c r="D3391" s="34"/>
      <c r="E3391" s="34"/>
      <c r="F3391" s="34"/>
    </row>
    <row r="3392" ht="17.1" customHeight="1" spans="1:6">
      <c r="A3392" s="7"/>
      <c r="B3392" s="7"/>
      <c r="C3392" s="7"/>
      <c r="D3392" s="34"/>
      <c r="E3392" s="34"/>
      <c r="F3392" s="34"/>
    </row>
    <row r="3393" ht="17.1" customHeight="1" spans="1:6">
      <c r="A3393" s="7"/>
      <c r="B3393" s="7"/>
      <c r="C3393" s="7"/>
      <c r="D3393" s="34"/>
      <c r="E3393" s="34"/>
      <c r="F3393" s="34"/>
    </row>
    <row r="3394" ht="17.1" customHeight="1" spans="1:6">
      <c r="A3394" s="7"/>
      <c r="B3394" s="7"/>
      <c r="C3394" s="7"/>
      <c r="D3394" s="34"/>
      <c r="E3394" s="34"/>
      <c r="F3394" s="34"/>
    </row>
    <row r="3395" ht="17.1" customHeight="1" spans="1:6">
      <c r="A3395" s="7"/>
      <c r="B3395" s="7"/>
      <c r="C3395" s="7"/>
      <c r="D3395" s="34"/>
      <c r="E3395" s="34"/>
      <c r="F3395" s="34"/>
    </row>
    <row r="3396" ht="17.1" customHeight="1" spans="1:6">
      <c r="A3396" s="7"/>
      <c r="B3396" s="7"/>
      <c r="C3396" s="7"/>
      <c r="D3396" s="34"/>
      <c r="E3396" s="34"/>
      <c r="F3396" s="34"/>
    </row>
    <row r="3397" ht="17.1" customHeight="1" spans="1:6">
      <c r="A3397" s="248" t="s">
        <v>881</v>
      </c>
      <c r="B3397" s="225"/>
      <c r="C3397" s="225"/>
      <c r="D3397" s="225"/>
      <c r="E3397" s="225"/>
      <c r="F3397" s="225"/>
    </row>
    <row r="3398" ht="17.1" customHeight="1" spans="1:6">
      <c r="A3398" s="278" t="s">
        <v>1195</v>
      </c>
      <c r="B3398" s="272"/>
      <c r="C3398" s="272"/>
      <c r="D3398" s="272"/>
      <c r="E3398" s="272"/>
      <c r="F3398" s="272"/>
    </row>
    <row r="3399" ht="17.1" customHeight="1" spans="1:6">
      <c r="A3399" s="228" t="s">
        <v>1196</v>
      </c>
      <c r="B3399" s="228"/>
      <c r="C3399" s="229"/>
      <c r="D3399" s="229"/>
      <c r="E3399" s="228" t="s">
        <v>1181</v>
      </c>
      <c r="F3399" s="228"/>
    </row>
    <row r="3400" ht="17.1" customHeight="1" spans="1:6">
      <c r="A3400" s="146" t="s">
        <v>1182</v>
      </c>
      <c r="B3400" s="233"/>
      <c r="C3400" s="233"/>
      <c r="D3400" s="233"/>
      <c r="E3400" s="233"/>
      <c r="F3400" s="147"/>
    </row>
    <row r="3401" ht="17.1" customHeight="1" spans="1:6">
      <c r="A3401" s="7" t="s">
        <v>104</v>
      </c>
      <c r="B3401" s="7" t="s">
        <v>835</v>
      </c>
      <c r="C3401" s="7" t="s">
        <v>159</v>
      </c>
      <c r="D3401" s="7" t="s">
        <v>422</v>
      </c>
      <c r="E3401" s="7" t="s">
        <v>160</v>
      </c>
      <c r="F3401" s="7" t="s">
        <v>18</v>
      </c>
    </row>
    <row r="3402" ht="17.1" customHeight="1" spans="1:6">
      <c r="A3402" s="7" t="s">
        <v>836</v>
      </c>
      <c r="B3402" s="7" t="s">
        <v>837</v>
      </c>
      <c r="C3402" s="7"/>
      <c r="D3402" s="7"/>
      <c r="E3402" s="7"/>
      <c r="F3402" s="34">
        <f>F3403+F3419+F3420</f>
        <v>11095.3958836114</v>
      </c>
    </row>
    <row r="3403" ht="17.1" customHeight="1" spans="1:6">
      <c r="A3403" s="7" t="s">
        <v>539</v>
      </c>
      <c r="B3403" s="7" t="s">
        <v>838</v>
      </c>
      <c r="C3403" s="7"/>
      <c r="D3403" s="7"/>
      <c r="E3403" s="7"/>
      <c r="F3403" s="34">
        <f>F3404+F3407+F3415</f>
        <v>10587.2098126063</v>
      </c>
    </row>
    <row r="3404" ht="17.1" customHeight="1" spans="1:6">
      <c r="A3404" s="7">
        <v>1</v>
      </c>
      <c r="B3404" s="7" t="s">
        <v>839</v>
      </c>
      <c r="C3404" s="7" t="s">
        <v>840</v>
      </c>
      <c r="D3404" s="34"/>
      <c r="E3404" s="69">
        <f>SUM(E3405:E3406)</f>
        <v>597.6</v>
      </c>
      <c r="F3404" s="69">
        <f>SUM(F3405:F3406)</f>
        <v>4422.791</v>
      </c>
    </row>
    <row r="3405" ht="17.1" customHeight="1" spans="1:6">
      <c r="A3405" s="7"/>
      <c r="B3405" s="7" t="s">
        <v>841</v>
      </c>
      <c r="C3405" s="7" t="s">
        <v>840</v>
      </c>
      <c r="D3405" s="69">
        <f t="shared" ref="D3405:D3413" si="226">D3365</f>
        <v>8.1</v>
      </c>
      <c r="E3405" s="69">
        <v>418.3</v>
      </c>
      <c r="F3405" s="69">
        <f>D3405*E3405</f>
        <v>3388.23</v>
      </c>
    </row>
    <row r="3406" ht="17.1" customHeight="1" spans="1:6">
      <c r="A3406" s="7"/>
      <c r="B3406" s="7" t="s">
        <v>842</v>
      </c>
      <c r="C3406" s="7" t="s">
        <v>840</v>
      </c>
      <c r="D3406" s="69">
        <f t="shared" si="226"/>
        <v>5.77</v>
      </c>
      <c r="E3406" s="69">
        <v>179.3</v>
      </c>
      <c r="F3406" s="69">
        <f>D3406*E3406</f>
        <v>1034.561</v>
      </c>
    </row>
    <row r="3407" ht="17.1" customHeight="1" spans="1:6">
      <c r="A3407" s="7">
        <v>2</v>
      </c>
      <c r="B3407" s="7" t="s">
        <v>912</v>
      </c>
      <c r="C3407" s="7"/>
      <c r="D3407" s="34"/>
      <c r="E3407" s="34"/>
      <c r="F3407" s="34">
        <f>SUM(F3408:F3414)</f>
        <v>5149.87793985</v>
      </c>
    </row>
    <row r="3408" ht="17.1" customHeight="1" spans="1:6">
      <c r="A3408" s="7"/>
      <c r="B3408" s="7" t="s">
        <v>1197</v>
      </c>
      <c r="C3408" s="7" t="s">
        <v>1184</v>
      </c>
      <c r="D3408" s="69"/>
      <c r="E3408" s="9">
        <v>100</v>
      </c>
      <c r="F3408" s="34">
        <f t="shared" ref="F3408:F3413" si="227">D3408*E3408</f>
        <v>0</v>
      </c>
    </row>
    <row r="3409" ht="17.1" customHeight="1" spans="1:6">
      <c r="A3409" s="7"/>
      <c r="B3409" s="7" t="s">
        <v>1185</v>
      </c>
      <c r="C3409" s="7" t="s">
        <v>363</v>
      </c>
      <c r="D3409" s="7">
        <v>111.11</v>
      </c>
      <c r="E3409" s="9">
        <v>21</v>
      </c>
      <c r="F3409" s="34">
        <f t="shared" si="227"/>
        <v>2333.31</v>
      </c>
    </row>
    <row r="3410" ht="17.1" customHeight="1" spans="1:6">
      <c r="A3410" s="7"/>
      <c r="B3410" s="7" t="s">
        <v>1186</v>
      </c>
      <c r="C3410" s="7" t="s">
        <v>1187</v>
      </c>
      <c r="D3410" s="38">
        <f t="shared" si="226"/>
        <v>144.54347</v>
      </c>
      <c r="E3410" s="7">
        <v>1</v>
      </c>
      <c r="F3410" s="34">
        <f t="shared" si="227"/>
        <v>144.54347</v>
      </c>
    </row>
    <row r="3411" ht="17.1" customHeight="1" spans="1:6">
      <c r="A3411" s="7"/>
      <c r="B3411" s="7" t="s">
        <v>998</v>
      </c>
      <c r="C3411" s="7" t="s">
        <v>863</v>
      </c>
      <c r="D3411" s="34">
        <f t="shared" si="226"/>
        <v>4.5</v>
      </c>
      <c r="E3411" s="9">
        <v>10</v>
      </c>
      <c r="F3411" s="34">
        <f t="shared" si="227"/>
        <v>45</v>
      </c>
    </row>
    <row r="3412" ht="17.1" customHeight="1" spans="1:6">
      <c r="A3412" s="7"/>
      <c r="B3412" s="7" t="s">
        <v>1136</v>
      </c>
      <c r="C3412" s="7" t="s">
        <v>863</v>
      </c>
      <c r="D3412" s="34">
        <f t="shared" si="226"/>
        <v>7.03</v>
      </c>
      <c r="E3412" s="9">
        <v>34</v>
      </c>
      <c r="F3412" s="34">
        <f t="shared" si="227"/>
        <v>239.02</v>
      </c>
    </row>
    <row r="3413" ht="17.1" customHeight="1" spans="1:6">
      <c r="A3413" s="7"/>
      <c r="B3413" s="7" t="s">
        <v>996</v>
      </c>
      <c r="C3413" s="7" t="s">
        <v>1187</v>
      </c>
      <c r="D3413" s="34">
        <f t="shared" si="226"/>
        <v>2238.008025</v>
      </c>
      <c r="E3413" s="9">
        <v>1</v>
      </c>
      <c r="F3413" s="34">
        <f t="shared" si="227"/>
        <v>2238.008025</v>
      </c>
    </row>
    <row r="3414" ht="17.1" customHeight="1" spans="1:6">
      <c r="A3414" s="7"/>
      <c r="B3414" s="7" t="s">
        <v>952</v>
      </c>
      <c r="C3414" s="9" t="s">
        <v>845</v>
      </c>
      <c r="D3414" s="34">
        <f>SUM(F3408:F3413)</f>
        <v>4999.881495</v>
      </c>
      <c r="E3414" s="9">
        <v>3</v>
      </c>
      <c r="F3414" s="34">
        <f>D3414*E3414/100</f>
        <v>149.99644485</v>
      </c>
    </row>
    <row r="3415" ht="17.1" customHeight="1" spans="1:6">
      <c r="A3415" s="7">
        <v>3</v>
      </c>
      <c r="B3415" s="7" t="s">
        <v>859</v>
      </c>
      <c r="C3415" s="7"/>
      <c r="D3415" s="34"/>
      <c r="E3415" s="34"/>
      <c r="F3415" s="34">
        <f>SUM(F3416:F3418)</f>
        <v>1014.54087275628</v>
      </c>
    </row>
    <row r="3416" ht="17.1" customHeight="1" spans="1:6">
      <c r="A3416" s="7"/>
      <c r="B3416" s="7" t="s">
        <v>1188</v>
      </c>
      <c r="C3416" s="7" t="s">
        <v>428</v>
      </c>
      <c r="D3416" s="34">
        <f>D3336</f>
        <v>13.137592341444</v>
      </c>
      <c r="E3416" s="34">
        <v>45</v>
      </c>
      <c r="F3416" s="34">
        <f>D3416*E3416</f>
        <v>591.191655364978</v>
      </c>
    </row>
    <row r="3417" ht="17.1" customHeight="1" spans="1:6">
      <c r="A3417" s="7"/>
      <c r="B3417" s="7" t="s">
        <v>1189</v>
      </c>
      <c r="C3417" s="7" t="s">
        <v>428</v>
      </c>
      <c r="D3417" s="34">
        <f>D3337</f>
        <v>3.89550857598724</v>
      </c>
      <c r="E3417" s="34">
        <v>85</v>
      </c>
      <c r="F3417" s="34">
        <f>D3417*E3417</f>
        <v>331.118228958915</v>
      </c>
    </row>
    <row r="3418" ht="17.1" customHeight="1" spans="1:6">
      <c r="A3418" s="7"/>
      <c r="B3418" s="7" t="s">
        <v>918</v>
      </c>
      <c r="C3418" s="9" t="s">
        <v>845</v>
      </c>
      <c r="D3418" s="34">
        <f>SUM(F3416:F3417)</f>
        <v>922.309884323893</v>
      </c>
      <c r="E3418" s="34">
        <v>10</v>
      </c>
      <c r="F3418" s="34">
        <f>D3418*E3418/100</f>
        <v>92.2309884323893</v>
      </c>
    </row>
    <row r="3419" ht="17.1" customHeight="1" spans="1:6">
      <c r="A3419" s="7" t="s">
        <v>564</v>
      </c>
      <c r="B3419" s="7" t="s">
        <v>846</v>
      </c>
      <c r="C3419" s="230">
        <f>取费表!$C$12</f>
        <v>0.048</v>
      </c>
      <c r="D3419" s="34"/>
      <c r="E3419" s="34">
        <f>F3403</f>
        <v>10587.2098126063</v>
      </c>
      <c r="F3419" s="34">
        <f>E3419*C3419</f>
        <v>508.186071005101</v>
      </c>
    </row>
    <row r="3420" ht="17.1" customHeight="1" spans="1:6">
      <c r="A3420" s="7"/>
      <c r="B3420" s="7"/>
      <c r="C3420" s="230"/>
      <c r="D3420" s="34"/>
      <c r="E3420" s="34"/>
      <c r="F3420" s="34"/>
    </row>
    <row r="3421" ht="17.1" customHeight="1" spans="1:6">
      <c r="A3421" s="7" t="s">
        <v>439</v>
      </c>
      <c r="B3421" s="7" t="s">
        <v>847</v>
      </c>
      <c r="C3421" s="230">
        <f>取费表!$E$12</f>
        <v>0.0725</v>
      </c>
      <c r="D3421" s="34"/>
      <c r="E3421" s="34">
        <f>F3402</f>
        <v>11095.3958836114</v>
      </c>
      <c r="F3421" s="34">
        <f>E3421*C3421</f>
        <v>804.416201561825</v>
      </c>
    </row>
    <row r="3422" ht="17.1" customHeight="1" spans="1:6">
      <c r="A3422" s="7" t="s">
        <v>83</v>
      </c>
      <c r="B3422" s="7" t="s">
        <v>848</v>
      </c>
      <c r="C3422" s="230">
        <f>取费表!$F$12</f>
        <v>0.05</v>
      </c>
      <c r="D3422" s="34"/>
      <c r="E3422" s="34">
        <f>F3421+F3402</f>
        <v>11899.8120851732</v>
      </c>
      <c r="F3422" s="34">
        <f>E3422*C3422</f>
        <v>594.99060425866</v>
      </c>
    </row>
    <row r="3423" ht="17.1" customHeight="1" spans="1:6">
      <c r="A3423" s="7"/>
      <c r="B3423" s="7" t="s">
        <v>1190</v>
      </c>
      <c r="C3423" s="257"/>
      <c r="D3423" s="34"/>
      <c r="E3423" s="34"/>
      <c r="F3423" s="34">
        <f>F3424+F3425</f>
        <v>82051</v>
      </c>
    </row>
    <row r="3424" ht="17.1" customHeight="1" spans="1:6">
      <c r="A3424" s="7"/>
      <c r="B3424" s="7" t="s">
        <v>1197</v>
      </c>
      <c r="C3424" s="7" t="s">
        <v>1184</v>
      </c>
      <c r="D3424" s="34">
        <v>820.51</v>
      </c>
      <c r="E3424" s="34">
        <v>100</v>
      </c>
      <c r="F3424" s="34">
        <f>D3424*E3424</f>
        <v>82051</v>
      </c>
    </row>
    <row r="3425" ht="17.1" customHeight="1" spans="1:6">
      <c r="A3425" s="7"/>
      <c r="B3425" s="7"/>
      <c r="C3425" s="7"/>
      <c r="D3425" s="34"/>
      <c r="E3425" s="34"/>
      <c r="F3425" s="34"/>
    </row>
    <row r="3426" ht="17.1" customHeight="1" spans="1:6">
      <c r="A3426" s="7" t="s">
        <v>121</v>
      </c>
      <c r="B3426" s="7" t="s">
        <v>849</v>
      </c>
      <c r="C3426" s="231">
        <f>C3346</f>
        <v>0.09</v>
      </c>
      <c r="D3426" s="34"/>
      <c r="E3426" s="34">
        <f>E3422+F3422+F3423</f>
        <v>94545.8026894319</v>
      </c>
      <c r="F3426" s="34">
        <f>E3426*C3426</f>
        <v>8509.12224204887</v>
      </c>
    </row>
    <row r="3427" ht="17.1" customHeight="1" spans="1:6">
      <c r="A3427" s="7"/>
      <c r="B3427" s="7" t="s">
        <v>850</v>
      </c>
      <c r="C3427" s="231"/>
      <c r="D3427" s="34"/>
      <c r="E3427" s="34"/>
      <c r="F3427" s="34">
        <f>(E3426+F3426)*取费表!H12</f>
        <v>3091.64774794442</v>
      </c>
    </row>
    <row r="3428" ht="17.1" customHeight="1" spans="1:6">
      <c r="A3428" s="7"/>
      <c r="B3428" s="7" t="s">
        <v>156</v>
      </c>
      <c r="C3428" s="7"/>
      <c r="D3428" s="34"/>
      <c r="E3428" s="34"/>
      <c r="F3428" s="34">
        <f>E3426+F3426+F3427</f>
        <v>106146.572679425</v>
      </c>
    </row>
    <row r="3429" ht="17.1" customHeight="1" spans="1:6">
      <c r="A3429" s="7"/>
      <c r="B3429" s="7"/>
      <c r="C3429" s="7"/>
      <c r="D3429" s="34"/>
      <c r="E3429" s="34"/>
      <c r="F3429" s="34"/>
    </row>
    <row r="3430" ht="17.1" customHeight="1" spans="1:6">
      <c r="A3430" s="7"/>
      <c r="B3430" s="7"/>
      <c r="C3430" s="7"/>
      <c r="D3430" s="34"/>
      <c r="E3430" s="34"/>
      <c r="F3430" s="34"/>
    </row>
    <row r="3431" ht="17.1" customHeight="1" spans="1:6">
      <c r="A3431" s="7"/>
      <c r="B3431" s="7"/>
      <c r="C3431" s="7"/>
      <c r="D3431" s="34"/>
      <c r="E3431" s="34"/>
      <c r="F3431" s="34"/>
    </row>
    <row r="3432" ht="17.1" customHeight="1" spans="1:6">
      <c r="A3432" s="7"/>
      <c r="B3432" s="7"/>
      <c r="C3432" s="7"/>
      <c r="D3432" s="34"/>
      <c r="E3432" s="34"/>
      <c r="F3432" s="34"/>
    </row>
    <row r="3433" ht="17.1" customHeight="1" spans="1:6">
      <c r="A3433" s="7"/>
      <c r="B3433" s="7"/>
      <c r="C3433" s="7"/>
      <c r="D3433" s="34"/>
      <c r="E3433" s="34"/>
      <c r="F3433" s="34"/>
    </row>
    <row r="3434" ht="17.1" customHeight="1" spans="1:6">
      <c r="A3434" s="7"/>
      <c r="B3434" s="7"/>
      <c r="C3434" s="7"/>
      <c r="D3434" s="34"/>
      <c r="E3434" s="34"/>
      <c r="F3434" s="34"/>
    </row>
    <row r="3435" ht="17.1" customHeight="1" spans="1:6">
      <c r="A3435" s="7"/>
      <c r="B3435" s="7"/>
      <c r="C3435" s="7"/>
      <c r="D3435" s="34"/>
      <c r="E3435" s="34"/>
      <c r="F3435" s="34"/>
    </row>
    <row r="3436" ht="17.1" customHeight="1" spans="1:6">
      <c r="A3436" s="7"/>
      <c r="B3436" s="7"/>
      <c r="C3436" s="7"/>
      <c r="D3436" s="34"/>
      <c r="E3436" s="34"/>
      <c r="F3436" s="34"/>
    </row>
    <row r="3437" customHeight="1" spans="1:6">
      <c r="A3437" s="248" t="s">
        <v>881</v>
      </c>
      <c r="B3437" s="225"/>
      <c r="C3437" s="225"/>
      <c r="D3437" s="225"/>
      <c r="E3437" s="225"/>
      <c r="F3437" s="225"/>
    </row>
    <row r="3438" customHeight="1" spans="1:6">
      <c r="A3438" s="278" t="s">
        <v>1198</v>
      </c>
      <c r="B3438" s="272"/>
      <c r="C3438" s="272"/>
      <c r="D3438" s="272"/>
      <c r="E3438" s="272"/>
      <c r="F3438" s="272"/>
    </row>
    <row r="3439" customHeight="1" spans="1:6">
      <c r="A3439" s="227" t="s">
        <v>1199</v>
      </c>
      <c r="B3439" s="228"/>
      <c r="C3439" s="272"/>
      <c r="D3439" s="272"/>
      <c r="E3439" s="228" t="s">
        <v>1181</v>
      </c>
      <c r="F3439" s="228"/>
    </row>
    <row r="3440" customHeight="1" spans="1:6">
      <c r="A3440" s="146" t="s">
        <v>911</v>
      </c>
      <c r="B3440" s="233" t="s">
        <v>1200</v>
      </c>
      <c r="C3440" s="233"/>
      <c r="D3440" s="233"/>
      <c r="E3440" s="233"/>
      <c r="F3440" s="147"/>
    </row>
    <row r="3441" customHeight="1" spans="1:6">
      <c r="A3441" s="7" t="s">
        <v>104</v>
      </c>
      <c r="B3441" s="7" t="s">
        <v>835</v>
      </c>
      <c r="C3441" s="7" t="s">
        <v>159</v>
      </c>
      <c r="D3441" s="7" t="s">
        <v>422</v>
      </c>
      <c r="E3441" s="7" t="s">
        <v>160</v>
      </c>
      <c r="F3441" s="7" t="s">
        <v>18</v>
      </c>
    </row>
    <row r="3442" customHeight="1" spans="1:6">
      <c r="A3442" s="7" t="s">
        <v>836</v>
      </c>
      <c r="B3442" s="7" t="s">
        <v>837</v>
      </c>
      <c r="C3442" s="7"/>
      <c r="D3442" s="7"/>
      <c r="E3442" s="7"/>
      <c r="F3442" s="34">
        <f>F3443+F3459+F3460</f>
        <v>19127.4996716296</v>
      </c>
    </row>
    <row r="3443" customHeight="1" spans="1:6">
      <c r="A3443" s="7" t="s">
        <v>539</v>
      </c>
      <c r="B3443" s="7" t="s">
        <v>838</v>
      </c>
      <c r="C3443" s="7"/>
      <c r="D3443" s="7"/>
      <c r="E3443" s="7"/>
      <c r="F3443" s="34">
        <f>F3444+F3447+F3455</f>
        <v>18251.4309843794</v>
      </c>
    </row>
    <row r="3444" customHeight="1" spans="1:6">
      <c r="A3444" s="7">
        <v>1</v>
      </c>
      <c r="B3444" s="7" t="s">
        <v>839</v>
      </c>
      <c r="C3444" s="7" t="s">
        <v>840</v>
      </c>
      <c r="D3444" s="34"/>
      <c r="E3444" s="69">
        <f>SUM(E3445:E3446)</f>
        <v>996</v>
      </c>
      <c r="F3444" s="69">
        <f>SUM(F3445:F3446)</f>
        <v>7371.396</v>
      </c>
    </row>
    <row r="3445" customHeight="1" spans="1:6">
      <c r="A3445" s="7"/>
      <c r="B3445" s="7" t="s">
        <v>841</v>
      </c>
      <c r="C3445" s="7" t="s">
        <v>840</v>
      </c>
      <c r="D3445" s="69">
        <f t="shared" ref="D3445:D3453" si="228">D3405</f>
        <v>8.1</v>
      </c>
      <c r="E3445" s="69">
        <v>697.2</v>
      </c>
      <c r="F3445" s="69">
        <f>D3445*E3445</f>
        <v>5647.32</v>
      </c>
    </row>
    <row r="3446" customHeight="1" spans="1:6">
      <c r="A3446" s="7"/>
      <c r="B3446" s="7" t="s">
        <v>842</v>
      </c>
      <c r="C3446" s="7" t="s">
        <v>840</v>
      </c>
      <c r="D3446" s="69">
        <f t="shared" si="228"/>
        <v>5.77</v>
      </c>
      <c r="E3446" s="69">
        <v>298.8</v>
      </c>
      <c r="F3446" s="69">
        <f>D3446*E3446</f>
        <v>1724.076</v>
      </c>
    </row>
    <row r="3447" customHeight="1" spans="1:6">
      <c r="A3447" s="7">
        <v>2</v>
      </c>
      <c r="B3447" s="7" t="s">
        <v>912</v>
      </c>
      <c r="C3447" s="7"/>
      <c r="D3447" s="34"/>
      <c r="E3447" s="34"/>
      <c r="F3447" s="34">
        <f>SUM(F3448:F3454)</f>
        <v>9383.6394056</v>
      </c>
    </row>
    <row r="3448" customHeight="1" spans="1:6">
      <c r="A3448" s="7"/>
      <c r="B3448" s="7" t="s">
        <v>1201</v>
      </c>
      <c r="C3448" s="7" t="s">
        <v>1184</v>
      </c>
      <c r="D3448" s="34"/>
      <c r="E3448" s="9">
        <v>100</v>
      </c>
      <c r="F3448" s="34">
        <f t="shared" ref="F3448:F3453" si="229">D3448*E3448</f>
        <v>0</v>
      </c>
    </row>
    <row r="3449" customHeight="1" spans="1:6">
      <c r="A3449" s="7"/>
      <c r="B3449" s="7" t="s">
        <v>1185</v>
      </c>
      <c r="C3449" s="7" t="s">
        <v>363</v>
      </c>
      <c r="D3449" s="7">
        <v>154.87</v>
      </c>
      <c r="E3449" s="9">
        <v>26</v>
      </c>
      <c r="F3449" s="34">
        <f t="shared" si="229"/>
        <v>4026.62</v>
      </c>
    </row>
    <row r="3450" customHeight="1" spans="1:6">
      <c r="A3450" s="7"/>
      <c r="B3450" s="7" t="s">
        <v>1186</v>
      </c>
      <c r="C3450" s="7" t="s">
        <v>1187</v>
      </c>
      <c r="D3450" s="38">
        <f t="shared" si="228"/>
        <v>144.54347</v>
      </c>
      <c r="E3450" s="7">
        <v>1</v>
      </c>
      <c r="F3450" s="34">
        <f t="shared" si="229"/>
        <v>144.54347</v>
      </c>
    </row>
    <row r="3451" customHeight="1" spans="1:6">
      <c r="A3451" s="7"/>
      <c r="B3451" s="7" t="s">
        <v>998</v>
      </c>
      <c r="C3451" s="7" t="s">
        <v>863</v>
      </c>
      <c r="D3451" s="38">
        <f t="shared" si="228"/>
        <v>4.5</v>
      </c>
      <c r="E3451" s="9">
        <v>17</v>
      </c>
      <c r="F3451" s="34">
        <f t="shared" si="229"/>
        <v>76.5</v>
      </c>
    </row>
    <row r="3452" customHeight="1" spans="1:6">
      <c r="A3452" s="7"/>
      <c r="B3452" s="7" t="s">
        <v>1136</v>
      </c>
      <c r="C3452" s="7" t="s">
        <v>863</v>
      </c>
      <c r="D3452" s="38">
        <f t="shared" si="228"/>
        <v>7.03</v>
      </c>
      <c r="E3452" s="9">
        <v>55</v>
      </c>
      <c r="F3452" s="34">
        <f t="shared" si="229"/>
        <v>386.65</v>
      </c>
    </row>
    <row r="3453" customHeight="1" spans="1:6">
      <c r="A3453" s="7"/>
      <c r="B3453" s="7" t="s">
        <v>996</v>
      </c>
      <c r="C3453" s="7" t="s">
        <v>1187</v>
      </c>
      <c r="D3453" s="38">
        <f t="shared" si="228"/>
        <v>2238.008025</v>
      </c>
      <c r="E3453" s="319">
        <v>2</v>
      </c>
      <c r="F3453" s="34">
        <f t="shared" si="229"/>
        <v>4476.01605</v>
      </c>
    </row>
    <row r="3454" customHeight="1" spans="1:6">
      <c r="A3454" s="7"/>
      <c r="B3454" s="7" t="s">
        <v>952</v>
      </c>
      <c r="C3454" s="9" t="s">
        <v>845</v>
      </c>
      <c r="D3454" s="34">
        <f>SUM(F3448:F3453)</f>
        <v>9110.32952</v>
      </c>
      <c r="E3454" s="9">
        <v>3</v>
      </c>
      <c r="F3454" s="34">
        <f>D3454*E3454/100</f>
        <v>273.3098856</v>
      </c>
    </row>
    <row r="3455" customHeight="1" spans="1:6">
      <c r="A3455" s="7">
        <v>3</v>
      </c>
      <c r="B3455" s="7" t="s">
        <v>859</v>
      </c>
      <c r="C3455" s="7"/>
      <c r="D3455" s="34"/>
      <c r="E3455" s="34"/>
      <c r="F3455" s="34">
        <f>SUM(F3456:F3458)</f>
        <v>1496.39557877942</v>
      </c>
    </row>
    <row r="3456" customHeight="1" spans="1:6">
      <c r="A3456" s="7"/>
      <c r="B3456" s="7" t="s">
        <v>1188</v>
      </c>
      <c r="C3456" s="7" t="s">
        <v>428</v>
      </c>
      <c r="D3456" s="34">
        <f>D3416</f>
        <v>13.137592341444</v>
      </c>
      <c r="E3456" s="34">
        <v>65</v>
      </c>
      <c r="F3456" s="34">
        <f>D3456*E3456</f>
        <v>853.943502193857</v>
      </c>
    </row>
    <row r="3457" customHeight="1" spans="1:6">
      <c r="A3457" s="7"/>
      <c r="B3457" s="7" t="s">
        <v>1189</v>
      </c>
      <c r="C3457" s="7" t="s">
        <v>428</v>
      </c>
      <c r="D3457" s="34">
        <f>D3417</f>
        <v>3.89550857598724</v>
      </c>
      <c r="E3457" s="34">
        <v>130</v>
      </c>
      <c r="F3457" s="34">
        <f>D3457*E3457</f>
        <v>506.416114878341</v>
      </c>
    </row>
    <row r="3458" customHeight="1" spans="1:6">
      <c r="A3458" s="7"/>
      <c r="B3458" s="7" t="s">
        <v>918</v>
      </c>
      <c r="C3458" s="9" t="s">
        <v>845</v>
      </c>
      <c r="D3458" s="34">
        <f>SUM(F3456:F3457)</f>
        <v>1360.3596170722</v>
      </c>
      <c r="E3458" s="34">
        <v>10</v>
      </c>
      <c r="F3458" s="34">
        <f>D3458*E3458/100</f>
        <v>136.03596170722</v>
      </c>
    </row>
    <row r="3459" customHeight="1" spans="1:6">
      <c r="A3459" s="7" t="s">
        <v>564</v>
      </c>
      <c r="B3459" s="7" t="s">
        <v>846</v>
      </c>
      <c r="C3459" s="230">
        <f>取费表!$C$12</f>
        <v>0.048</v>
      </c>
      <c r="D3459" s="34"/>
      <c r="E3459" s="34">
        <f>F3443</f>
        <v>18251.4309843794</v>
      </c>
      <c r="F3459" s="34">
        <f>E3459*C3459</f>
        <v>876.068687250212</v>
      </c>
    </row>
    <row r="3460" customHeight="1" spans="1:6">
      <c r="A3460" s="7"/>
      <c r="B3460" s="7"/>
      <c r="C3460" s="230"/>
      <c r="D3460" s="34"/>
      <c r="E3460" s="34"/>
      <c r="F3460" s="34"/>
    </row>
    <row r="3461" customHeight="1" spans="1:6">
      <c r="A3461" s="7" t="s">
        <v>439</v>
      </c>
      <c r="B3461" s="7" t="s">
        <v>847</v>
      </c>
      <c r="C3461" s="230">
        <f>取费表!$E$12</f>
        <v>0.0725</v>
      </c>
      <c r="D3461" s="34"/>
      <c r="E3461" s="34">
        <f>F3442</f>
        <v>19127.4996716296</v>
      </c>
      <c r="F3461" s="34">
        <f>E3461*C3461</f>
        <v>1386.74372619315</v>
      </c>
    </row>
    <row r="3462" customHeight="1" spans="1:6">
      <c r="A3462" s="7" t="s">
        <v>83</v>
      </c>
      <c r="B3462" s="7" t="s">
        <v>848</v>
      </c>
      <c r="C3462" s="230">
        <f>取费表!$F$12</f>
        <v>0.05</v>
      </c>
      <c r="D3462" s="34"/>
      <c r="E3462" s="34">
        <f>F3461+F3442</f>
        <v>20514.2433978228</v>
      </c>
      <c r="F3462" s="34">
        <f>E3462*C3462</f>
        <v>1025.71216989114</v>
      </c>
    </row>
    <row r="3463" customHeight="1" spans="1:6">
      <c r="A3463" s="7"/>
      <c r="B3463" s="7" t="s">
        <v>1190</v>
      </c>
      <c r="C3463" s="257"/>
      <c r="D3463" s="34"/>
      <c r="E3463" s="34"/>
      <c r="F3463" s="34">
        <f>F3464+F3465</f>
        <v>141416</v>
      </c>
    </row>
    <row r="3464" customHeight="1" spans="1:6">
      <c r="A3464" s="7"/>
      <c r="B3464" s="7" t="s">
        <v>1202</v>
      </c>
      <c r="C3464" s="7" t="s">
        <v>1184</v>
      </c>
      <c r="D3464" s="34">
        <v>1414.16</v>
      </c>
      <c r="E3464" s="9">
        <v>100</v>
      </c>
      <c r="F3464" s="34">
        <f>D3464*E3464</f>
        <v>141416</v>
      </c>
    </row>
    <row r="3465" customHeight="1" spans="1:6">
      <c r="A3465" s="7"/>
      <c r="B3465" s="7"/>
      <c r="C3465" s="7"/>
      <c r="D3465" s="34"/>
      <c r="E3465" s="319"/>
      <c r="F3465" s="34"/>
    </row>
    <row r="3466" customHeight="1" spans="1:6">
      <c r="A3466" s="7" t="s">
        <v>121</v>
      </c>
      <c r="B3466" s="7" t="s">
        <v>849</v>
      </c>
      <c r="C3466" s="231">
        <f>C3426</f>
        <v>0.09</v>
      </c>
      <c r="D3466" s="34"/>
      <c r="E3466" s="34">
        <f>E3462+F3462+F3463</f>
        <v>162955.955567714</v>
      </c>
      <c r="F3466" s="34">
        <f>E3466*C3466</f>
        <v>14666.0360010943</v>
      </c>
    </row>
    <row r="3467" customHeight="1" spans="1:6">
      <c r="A3467" s="7"/>
      <c r="B3467" s="7" t="s">
        <v>850</v>
      </c>
      <c r="C3467" s="231"/>
      <c r="D3467" s="34"/>
      <c r="E3467" s="34"/>
      <c r="F3467" s="34">
        <f>(E3466+F3466)*取费表!H12</f>
        <v>5328.65974706424</v>
      </c>
    </row>
    <row r="3468" customHeight="1" spans="1:6">
      <c r="A3468" s="7"/>
      <c r="B3468" s="7" t="s">
        <v>156</v>
      </c>
      <c r="C3468" s="7"/>
      <c r="D3468" s="34"/>
      <c r="E3468" s="34"/>
      <c r="F3468" s="34">
        <f>E3466+F3466+F3467</f>
        <v>182950.651315872</v>
      </c>
    </row>
    <row r="3469" customHeight="1" spans="1:6">
      <c r="A3469" s="7"/>
      <c r="B3469" s="7"/>
      <c r="C3469" s="7"/>
      <c r="D3469" s="34"/>
      <c r="E3469" s="34"/>
      <c r="F3469" s="34"/>
    </row>
    <row r="3470" customHeight="1" spans="1:6">
      <c r="A3470" s="7"/>
      <c r="B3470" s="7"/>
      <c r="C3470" s="7"/>
      <c r="D3470" s="34"/>
      <c r="E3470" s="34"/>
      <c r="F3470" s="34"/>
    </row>
    <row r="3471" customHeight="1" spans="1:6">
      <c r="A3471" s="7"/>
      <c r="B3471" s="7"/>
      <c r="C3471" s="7"/>
      <c r="D3471" s="34"/>
      <c r="E3471" s="34"/>
      <c r="F3471" s="34"/>
    </row>
    <row r="3472" customHeight="1" spans="1:6">
      <c r="A3472" s="7"/>
      <c r="B3472" s="7"/>
      <c r="C3472" s="7"/>
      <c r="D3472" s="34"/>
      <c r="E3472" s="34"/>
      <c r="F3472" s="34"/>
    </row>
    <row r="3473" customHeight="1" spans="1:6">
      <c r="A3473" s="7"/>
      <c r="B3473" s="7"/>
      <c r="C3473" s="7"/>
      <c r="D3473" s="34"/>
      <c r="E3473" s="34"/>
      <c r="F3473" s="34"/>
    </row>
    <row r="3474" customHeight="1" spans="1:6">
      <c r="A3474" s="7"/>
      <c r="B3474" s="7"/>
      <c r="C3474" s="7"/>
      <c r="D3474" s="34"/>
      <c r="E3474" s="34"/>
      <c r="F3474" s="34"/>
    </row>
    <row r="3475" customHeight="1" spans="1:6">
      <c r="A3475" s="248" t="s">
        <v>881</v>
      </c>
      <c r="B3475" s="225"/>
      <c r="C3475" s="225"/>
      <c r="D3475" s="225"/>
      <c r="E3475" s="225"/>
      <c r="F3475" s="225"/>
    </row>
    <row r="3476" customHeight="1" spans="1:6">
      <c r="A3476" s="278" t="s">
        <v>1203</v>
      </c>
      <c r="B3476" s="272"/>
      <c r="C3476" s="272"/>
      <c r="D3476" s="272"/>
      <c r="E3476" s="272"/>
      <c r="F3476" s="272"/>
    </row>
    <row r="3477" customHeight="1" spans="1:6">
      <c r="A3477" s="227" t="s">
        <v>1199</v>
      </c>
      <c r="B3477" s="228"/>
      <c r="C3477" s="272"/>
      <c r="D3477" s="272"/>
      <c r="E3477" s="228" t="s">
        <v>1181</v>
      </c>
      <c r="F3477" s="228"/>
    </row>
    <row r="3478" customHeight="1" spans="1:6">
      <c r="A3478" s="146" t="s">
        <v>911</v>
      </c>
      <c r="B3478" s="233" t="s">
        <v>1200</v>
      </c>
      <c r="C3478" s="233"/>
      <c r="D3478" s="233"/>
      <c r="E3478" s="233"/>
      <c r="F3478" s="147"/>
    </row>
    <row r="3479" customHeight="1" spans="1:6">
      <c r="A3479" s="7" t="s">
        <v>104</v>
      </c>
      <c r="B3479" s="7" t="s">
        <v>835</v>
      </c>
      <c r="C3479" s="7" t="s">
        <v>159</v>
      </c>
      <c r="D3479" s="7" t="s">
        <v>422</v>
      </c>
      <c r="E3479" s="7" t="s">
        <v>160</v>
      </c>
      <c r="F3479" s="7" t="s">
        <v>18</v>
      </c>
    </row>
    <row r="3480" customHeight="1" spans="1:6">
      <c r="A3480" s="7" t="s">
        <v>836</v>
      </c>
      <c r="B3480" s="7" t="s">
        <v>837</v>
      </c>
      <c r="C3480" s="7"/>
      <c r="D3480" s="7"/>
      <c r="E3480" s="7"/>
      <c r="F3480" s="34">
        <f>F3481+F3497+F3498</f>
        <v>22063.9646282326</v>
      </c>
    </row>
    <row r="3481" customHeight="1" spans="1:6">
      <c r="A3481" s="7" t="s">
        <v>539</v>
      </c>
      <c r="B3481" s="7" t="s">
        <v>838</v>
      </c>
      <c r="C3481" s="7"/>
      <c r="D3481" s="7"/>
      <c r="E3481" s="7"/>
      <c r="F3481" s="34">
        <f>F3482+F3485+F3493</f>
        <v>21053.4013628174</v>
      </c>
    </row>
    <row r="3482" customHeight="1" spans="1:6">
      <c r="A3482" s="7">
        <v>1</v>
      </c>
      <c r="B3482" s="7" t="s">
        <v>839</v>
      </c>
      <c r="C3482" s="7" t="s">
        <v>840</v>
      </c>
      <c r="D3482" s="34"/>
      <c r="E3482" s="69">
        <f>SUM(E3483:E3484)</f>
        <v>1095.6</v>
      </c>
      <c r="F3482" s="69">
        <f>SUM(F3483:F3484)</f>
        <v>8108.5356</v>
      </c>
    </row>
    <row r="3483" customHeight="1" spans="1:6">
      <c r="A3483" s="7"/>
      <c r="B3483" s="7" t="s">
        <v>841</v>
      </c>
      <c r="C3483" s="7" t="s">
        <v>840</v>
      </c>
      <c r="D3483" s="69">
        <f>D3445</f>
        <v>8.1</v>
      </c>
      <c r="E3483" s="69">
        <f>697.2*1.1</f>
        <v>766.92</v>
      </c>
      <c r="F3483" s="69">
        <f>D3483*E3483</f>
        <v>6212.052</v>
      </c>
    </row>
    <row r="3484" customHeight="1" spans="1:6">
      <c r="A3484" s="7"/>
      <c r="B3484" s="7" t="s">
        <v>842</v>
      </c>
      <c r="C3484" s="7" t="s">
        <v>840</v>
      </c>
      <c r="D3484" s="69">
        <f>D3446</f>
        <v>5.77</v>
      </c>
      <c r="E3484" s="69">
        <f>298.8*1.1</f>
        <v>328.68</v>
      </c>
      <c r="F3484" s="69">
        <f>D3484*E3484</f>
        <v>1896.4836</v>
      </c>
    </row>
    <row r="3485" customHeight="1" spans="1:6">
      <c r="A3485" s="7">
        <v>2</v>
      </c>
      <c r="B3485" s="7" t="s">
        <v>912</v>
      </c>
      <c r="C3485" s="7"/>
      <c r="D3485" s="34"/>
      <c r="E3485" s="34"/>
      <c r="F3485" s="34">
        <f>SUM(F3486:F3492)</f>
        <v>11298.83062616</v>
      </c>
    </row>
    <row r="3486" customHeight="1" spans="1:6">
      <c r="A3486" s="7"/>
      <c r="B3486" s="7" t="s">
        <v>1204</v>
      </c>
      <c r="C3486" s="7" t="s">
        <v>1184</v>
      </c>
      <c r="D3486" s="34"/>
      <c r="E3486" s="9">
        <v>100</v>
      </c>
      <c r="F3486" s="34">
        <f t="shared" ref="F3486:F3491" si="230">D3486*E3486</f>
        <v>0</v>
      </c>
    </row>
    <row r="3487" customHeight="1" spans="1:6">
      <c r="A3487" s="7"/>
      <c r="B3487" s="7" t="s">
        <v>1185</v>
      </c>
      <c r="C3487" s="7" t="s">
        <v>363</v>
      </c>
      <c r="D3487" s="7">
        <v>188.03</v>
      </c>
      <c r="E3487" s="9">
        <f>26*1.1</f>
        <v>28.6</v>
      </c>
      <c r="F3487" s="34">
        <f t="shared" si="230"/>
        <v>5377.658</v>
      </c>
    </row>
    <row r="3488" customHeight="1" spans="1:6">
      <c r="A3488" s="7"/>
      <c r="B3488" s="7" t="s">
        <v>1186</v>
      </c>
      <c r="C3488" s="7" t="s">
        <v>1187</v>
      </c>
      <c r="D3488" s="38">
        <f>D3450</f>
        <v>144.54347</v>
      </c>
      <c r="E3488" s="7">
        <f>1*1.1</f>
        <v>1.1</v>
      </c>
      <c r="F3488" s="34">
        <f t="shared" si="230"/>
        <v>158.997817</v>
      </c>
    </row>
    <row r="3489" customHeight="1" spans="1:6">
      <c r="A3489" s="7"/>
      <c r="B3489" s="7" t="s">
        <v>998</v>
      </c>
      <c r="C3489" s="7" t="s">
        <v>863</v>
      </c>
      <c r="D3489" s="38">
        <f>D3451</f>
        <v>4.5</v>
      </c>
      <c r="E3489" s="9">
        <f>17*1.1</f>
        <v>18.7</v>
      </c>
      <c r="F3489" s="34">
        <f t="shared" si="230"/>
        <v>84.15</v>
      </c>
    </row>
    <row r="3490" customHeight="1" spans="1:6">
      <c r="A3490" s="7"/>
      <c r="B3490" s="7" t="s">
        <v>1136</v>
      </c>
      <c r="C3490" s="7" t="s">
        <v>863</v>
      </c>
      <c r="D3490" s="38">
        <f>D3452</f>
        <v>7.03</v>
      </c>
      <c r="E3490" s="9">
        <f>55*1.1</f>
        <v>60.5</v>
      </c>
      <c r="F3490" s="34">
        <f t="shared" si="230"/>
        <v>425.315</v>
      </c>
    </row>
    <row r="3491" customHeight="1" spans="1:6">
      <c r="A3491" s="7"/>
      <c r="B3491" s="7" t="s">
        <v>996</v>
      </c>
      <c r="C3491" s="7" t="s">
        <v>1187</v>
      </c>
      <c r="D3491" s="38">
        <f>D3453</f>
        <v>2238.008025</v>
      </c>
      <c r="E3491" s="319">
        <f>2*1.1</f>
        <v>2.2</v>
      </c>
      <c r="F3491" s="34">
        <f t="shared" si="230"/>
        <v>4923.617655</v>
      </c>
    </row>
    <row r="3492" customHeight="1" spans="1:6">
      <c r="A3492" s="7"/>
      <c r="B3492" s="7" t="s">
        <v>952</v>
      </c>
      <c r="C3492" s="9" t="s">
        <v>845</v>
      </c>
      <c r="D3492" s="34">
        <f>SUM(F3486:F3491)</f>
        <v>10969.738472</v>
      </c>
      <c r="E3492" s="9">
        <v>3</v>
      </c>
      <c r="F3492" s="34">
        <f>D3492*E3492/100</f>
        <v>329.09215416</v>
      </c>
    </row>
    <row r="3493" customHeight="1" spans="1:6">
      <c r="A3493" s="7">
        <v>3</v>
      </c>
      <c r="B3493" s="7" t="s">
        <v>859</v>
      </c>
      <c r="C3493" s="7"/>
      <c r="D3493" s="34"/>
      <c r="E3493" s="34"/>
      <c r="F3493" s="34">
        <f>SUM(F3494:F3496)</f>
        <v>1646.03513665736</v>
      </c>
    </row>
    <row r="3494" customHeight="1" spans="1:6">
      <c r="A3494" s="7"/>
      <c r="B3494" s="7" t="s">
        <v>1188</v>
      </c>
      <c r="C3494" s="7" t="s">
        <v>428</v>
      </c>
      <c r="D3494" s="34">
        <f>D3456</f>
        <v>13.137592341444</v>
      </c>
      <c r="E3494" s="34">
        <f>65*1.1</f>
        <v>71.5</v>
      </c>
      <c r="F3494" s="34">
        <f>D3494*E3494</f>
        <v>939.337852413243</v>
      </c>
    </row>
    <row r="3495" customHeight="1" spans="1:6">
      <c r="A3495" s="7"/>
      <c r="B3495" s="7" t="s">
        <v>1189</v>
      </c>
      <c r="C3495" s="7" t="s">
        <v>428</v>
      </c>
      <c r="D3495" s="34">
        <f>D3457</f>
        <v>3.89550857598724</v>
      </c>
      <c r="E3495" s="34">
        <f>130*1.1</f>
        <v>143</v>
      </c>
      <c r="F3495" s="34">
        <f>D3495*E3495</f>
        <v>557.057726366175</v>
      </c>
    </row>
    <row r="3496" customHeight="1" spans="1:6">
      <c r="A3496" s="7"/>
      <c r="B3496" s="7" t="s">
        <v>918</v>
      </c>
      <c r="C3496" s="9" t="s">
        <v>845</v>
      </c>
      <c r="D3496" s="34">
        <f>SUM(F3494:F3495)</f>
        <v>1496.39557877942</v>
      </c>
      <c r="E3496" s="34">
        <v>10</v>
      </c>
      <c r="F3496" s="34">
        <f>D3496*E3496/100</f>
        <v>149.639557877942</v>
      </c>
    </row>
    <row r="3497" customHeight="1" spans="1:6">
      <c r="A3497" s="7" t="s">
        <v>564</v>
      </c>
      <c r="B3497" s="7" t="s">
        <v>846</v>
      </c>
      <c r="C3497" s="230">
        <f>取费表!$C$12</f>
        <v>0.048</v>
      </c>
      <c r="D3497" s="34"/>
      <c r="E3497" s="34">
        <f>F3481</f>
        <v>21053.4013628174</v>
      </c>
      <c r="F3497" s="34">
        <f>E3497*C3497</f>
        <v>1010.56326541523</v>
      </c>
    </row>
    <row r="3498" customHeight="1" spans="1:6">
      <c r="A3498" s="7"/>
      <c r="B3498" s="7"/>
      <c r="C3498" s="230"/>
      <c r="D3498" s="34"/>
      <c r="E3498" s="34"/>
      <c r="F3498" s="34"/>
    </row>
    <row r="3499" customHeight="1" spans="1:6">
      <c r="A3499" s="7" t="s">
        <v>439</v>
      </c>
      <c r="B3499" s="7" t="s">
        <v>847</v>
      </c>
      <c r="C3499" s="230">
        <f>取费表!$E$12</f>
        <v>0.0725</v>
      </c>
      <c r="D3499" s="34"/>
      <c r="E3499" s="34">
        <f>F3480</f>
        <v>22063.9646282326</v>
      </c>
      <c r="F3499" s="34">
        <f>E3499*C3499</f>
        <v>1599.63743554686</v>
      </c>
    </row>
    <row r="3500" customHeight="1" spans="1:6">
      <c r="A3500" s="7" t="s">
        <v>83</v>
      </c>
      <c r="B3500" s="7" t="s">
        <v>848</v>
      </c>
      <c r="C3500" s="230">
        <f>取费表!$F$12</f>
        <v>0.05</v>
      </c>
      <c r="D3500" s="34"/>
      <c r="E3500" s="34">
        <f>F3499+F3480</f>
        <v>23663.6020637795</v>
      </c>
      <c r="F3500" s="34">
        <f>E3500*C3500</f>
        <v>1183.18010318897</v>
      </c>
    </row>
    <row r="3501" customHeight="1" spans="1:6">
      <c r="A3501" s="7"/>
      <c r="B3501" s="7" t="s">
        <v>1190</v>
      </c>
      <c r="C3501" s="257"/>
      <c r="D3501" s="34"/>
      <c r="E3501" s="34"/>
      <c r="F3501" s="34">
        <f>F3502+F3503</f>
        <v>173504</v>
      </c>
    </row>
    <row r="3502" customHeight="1" spans="1:6">
      <c r="A3502" s="7"/>
      <c r="B3502" s="7" t="s">
        <v>1205</v>
      </c>
      <c r="C3502" s="7" t="s">
        <v>1184</v>
      </c>
      <c r="D3502" s="34">
        <v>1735.04</v>
      </c>
      <c r="E3502" s="9">
        <v>100</v>
      </c>
      <c r="F3502" s="34">
        <f>D3502*E3502</f>
        <v>173504</v>
      </c>
    </row>
    <row r="3503" customHeight="1" spans="1:6">
      <c r="A3503" s="7"/>
      <c r="B3503" s="7"/>
      <c r="C3503" s="7"/>
      <c r="D3503" s="34"/>
      <c r="E3503" s="319"/>
      <c r="F3503" s="34"/>
    </row>
    <row r="3504" customHeight="1" spans="1:6">
      <c r="A3504" s="7" t="s">
        <v>121</v>
      </c>
      <c r="B3504" s="7" t="s">
        <v>849</v>
      </c>
      <c r="C3504" s="231">
        <f>C3466</f>
        <v>0.09</v>
      </c>
      <c r="D3504" s="34"/>
      <c r="E3504" s="34">
        <f>E3500+F3500+F3501</f>
        <v>198350.782166968</v>
      </c>
      <c r="F3504" s="34">
        <f>E3504*C3504</f>
        <v>17851.5703950272</v>
      </c>
    </row>
    <row r="3505" customHeight="1" spans="1:6">
      <c r="A3505" s="7"/>
      <c r="B3505" s="7" t="s">
        <v>850</v>
      </c>
      <c r="C3505" s="231"/>
      <c r="D3505" s="34"/>
      <c r="E3505" s="34"/>
      <c r="F3505" s="34">
        <f>(E3504+F3504)*取费表!H12</f>
        <v>6486.07057685987</v>
      </c>
    </row>
    <row r="3506" customHeight="1" spans="1:6">
      <c r="A3506" s="7"/>
      <c r="B3506" s="7" t="s">
        <v>156</v>
      </c>
      <c r="C3506" s="7"/>
      <c r="D3506" s="34"/>
      <c r="E3506" s="34"/>
      <c r="F3506" s="34">
        <f>E3504+F3504+F3505</f>
        <v>222688.423138855</v>
      </c>
    </row>
    <row r="3507" customHeight="1" spans="1:6">
      <c r="A3507" s="7"/>
      <c r="B3507" s="7"/>
      <c r="C3507" s="7"/>
      <c r="D3507" s="34"/>
      <c r="E3507" s="34"/>
      <c r="F3507" s="34"/>
    </row>
    <row r="3508" customHeight="1" spans="1:6">
      <c r="A3508" s="7"/>
      <c r="B3508" s="7"/>
      <c r="C3508" s="7"/>
      <c r="D3508" s="34"/>
      <c r="E3508" s="34"/>
      <c r="F3508" s="34"/>
    </row>
    <row r="3509" customHeight="1" spans="1:6">
      <c r="A3509" s="7"/>
      <c r="B3509" s="7"/>
      <c r="C3509" s="7"/>
      <c r="D3509" s="34"/>
      <c r="E3509" s="34"/>
      <c r="F3509" s="34"/>
    </row>
    <row r="3510" customHeight="1" spans="1:6">
      <c r="A3510" s="7"/>
      <c r="B3510" s="7"/>
      <c r="C3510" s="7"/>
      <c r="D3510" s="34"/>
      <c r="E3510" s="34"/>
      <c r="F3510" s="34"/>
    </row>
    <row r="3511" customHeight="1" spans="1:6">
      <c r="A3511" s="7"/>
      <c r="B3511" s="7"/>
      <c r="C3511" s="7"/>
      <c r="D3511" s="34"/>
      <c r="E3511" s="34"/>
      <c r="F3511" s="34"/>
    </row>
    <row r="3512" customHeight="1" spans="1:6">
      <c r="A3512" s="7"/>
      <c r="B3512" s="7"/>
      <c r="C3512" s="7"/>
      <c r="D3512" s="34"/>
      <c r="E3512" s="34"/>
      <c r="F3512" s="34"/>
    </row>
    <row r="3513" customHeight="1" spans="1:6">
      <c r="A3513" s="248" t="s">
        <v>881</v>
      </c>
      <c r="B3513" s="225"/>
      <c r="C3513" s="225"/>
      <c r="D3513" s="225"/>
      <c r="E3513" s="225"/>
      <c r="F3513" s="225"/>
    </row>
    <row r="3514" customHeight="1" spans="1:6">
      <c r="A3514" s="278" t="s">
        <v>1206</v>
      </c>
      <c r="B3514" s="272"/>
      <c r="C3514" s="272"/>
      <c r="D3514" s="272"/>
      <c r="E3514" s="272"/>
      <c r="F3514" s="272"/>
    </row>
    <row r="3515" customHeight="1" spans="1:6">
      <c r="A3515" s="227" t="s">
        <v>1199</v>
      </c>
      <c r="B3515" s="228"/>
      <c r="C3515" s="272"/>
      <c r="D3515" s="272"/>
      <c r="E3515" s="228" t="s">
        <v>1181</v>
      </c>
      <c r="F3515" s="228"/>
    </row>
    <row r="3516" customHeight="1" spans="1:6">
      <c r="A3516" s="146" t="s">
        <v>911</v>
      </c>
      <c r="B3516" s="233" t="s">
        <v>1200</v>
      </c>
      <c r="C3516" s="233"/>
      <c r="D3516" s="233"/>
      <c r="E3516" s="233"/>
      <c r="F3516" s="147"/>
    </row>
    <row r="3517" customHeight="1" spans="1:6">
      <c r="A3517" s="7" t="s">
        <v>104</v>
      </c>
      <c r="B3517" s="7" t="s">
        <v>835</v>
      </c>
      <c r="C3517" s="7" t="s">
        <v>159</v>
      </c>
      <c r="D3517" s="7" t="s">
        <v>422</v>
      </c>
      <c r="E3517" s="7" t="s">
        <v>160</v>
      </c>
      <c r="F3517" s="7" t="s">
        <v>18</v>
      </c>
    </row>
    <row r="3518" customHeight="1" spans="1:6">
      <c r="A3518" s="7" t="s">
        <v>836</v>
      </c>
      <c r="B3518" s="7" t="s">
        <v>837</v>
      </c>
      <c r="C3518" s="7"/>
      <c r="D3518" s="7"/>
      <c r="E3518" s="7"/>
      <c r="F3518" s="34">
        <f>F3519+F3535+F3536</f>
        <v>24645.6824232356</v>
      </c>
    </row>
    <row r="3519" customHeight="1" spans="1:6">
      <c r="A3519" s="7" t="s">
        <v>539</v>
      </c>
      <c r="B3519" s="7" t="s">
        <v>838</v>
      </c>
      <c r="C3519" s="7"/>
      <c r="D3519" s="7"/>
      <c r="E3519" s="7"/>
      <c r="F3519" s="34">
        <f>F3520+F3523+F3531</f>
        <v>23516.8725412553</v>
      </c>
    </row>
    <row r="3520" customHeight="1" spans="1:6">
      <c r="A3520" s="7">
        <v>1</v>
      </c>
      <c r="B3520" s="7" t="s">
        <v>839</v>
      </c>
      <c r="C3520" s="7" t="s">
        <v>840</v>
      </c>
      <c r="D3520" s="34"/>
      <c r="E3520" s="69">
        <f>SUM(E3521:E3522)</f>
        <v>1195.2</v>
      </c>
      <c r="F3520" s="69">
        <f>SUM(F3521:F3522)</f>
        <v>8845.6752</v>
      </c>
    </row>
    <row r="3521" customHeight="1" spans="1:6">
      <c r="A3521" s="7"/>
      <c r="B3521" s="7" t="s">
        <v>841</v>
      </c>
      <c r="C3521" s="7" t="s">
        <v>840</v>
      </c>
      <c r="D3521" s="69">
        <f>D3483</f>
        <v>8.1</v>
      </c>
      <c r="E3521" s="69">
        <f>697.2*1.2</f>
        <v>836.64</v>
      </c>
      <c r="F3521" s="69">
        <f>D3521*E3521</f>
        <v>6776.784</v>
      </c>
    </row>
    <row r="3522" customHeight="1" spans="1:6">
      <c r="A3522" s="7"/>
      <c r="B3522" s="7" t="s">
        <v>842</v>
      </c>
      <c r="C3522" s="7" t="s">
        <v>840</v>
      </c>
      <c r="D3522" s="69">
        <f>D3484</f>
        <v>5.77</v>
      </c>
      <c r="E3522" s="69">
        <f>298.8*1.2</f>
        <v>358.56</v>
      </c>
      <c r="F3522" s="69">
        <f>D3522*E3522</f>
        <v>2068.8912</v>
      </c>
    </row>
    <row r="3523" customHeight="1" spans="1:6">
      <c r="A3523" s="7">
        <v>2</v>
      </c>
      <c r="B3523" s="7" t="s">
        <v>912</v>
      </c>
      <c r="C3523" s="7"/>
      <c r="D3523" s="34"/>
      <c r="E3523" s="34"/>
      <c r="F3523" s="34">
        <f>SUM(F3524:F3530)</f>
        <v>12875.52264672</v>
      </c>
    </row>
    <row r="3524" customHeight="1" spans="1:6">
      <c r="A3524" s="7"/>
      <c r="B3524" s="7" t="s">
        <v>1207</v>
      </c>
      <c r="C3524" s="7" t="s">
        <v>1184</v>
      </c>
      <c r="D3524" s="34"/>
      <c r="E3524" s="9">
        <v>100</v>
      </c>
      <c r="F3524" s="34">
        <f t="shared" ref="F3524:F3529" si="231">D3524*E3524</f>
        <v>0</v>
      </c>
    </row>
    <row r="3525" customHeight="1" spans="1:6">
      <c r="A3525" s="7"/>
      <c r="B3525" s="7" t="s">
        <v>1185</v>
      </c>
      <c r="C3525" s="7" t="s">
        <v>363</v>
      </c>
      <c r="D3525" s="7">
        <v>205.13</v>
      </c>
      <c r="E3525" s="9">
        <f>26*1.2</f>
        <v>31.2</v>
      </c>
      <c r="F3525" s="34">
        <f t="shared" si="231"/>
        <v>6400.056</v>
      </c>
    </row>
    <row r="3526" customHeight="1" spans="1:6">
      <c r="A3526" s="7"/>
      <c r="B3526" s="7" t="s">
        <v>1186</v>
      </c>
      <c r="C3526" s="7" t="s">
        <v>1187</v>
      </c>
      <c r="D3526" s="38">
        <f>D3488</f>
        <v>144.54347</v>
      </c>
      <c r="E3526" s="7">
        <f>1*1.2</f>
        <v>1.2</v>
      </c>
      <c r="F3526" s="34">
        <f t="shared" si="231"/>
        <v>173.452164</v>
      </c>
    </row>
    <row r="3527" customHeight="1" spans="1:6">
      <c r="A3527" s="7"/>
      <c r="B3527" s="7" t="s">
        <v>998</v>
      </c>
      <c r="C3527" s="7" t="s">
        <v>863</v>
      </c>
      <c r="D3527" s="38">
        <f>D3489</f>
        <v>4.5</v>
      </c>
      <c r="E3527" s="9">
        <f>17*1.2</f>
        <v>20.4</v>
      </c>
      <c r="F3527" s="34">
        <f t="shared" si="231"/>
        <v>91.8</v>
      </c>
    </row>
    <row r="3528" customHeight="1" spans="1:6">
      <c r="A3528" s="7"/>
      <c r="B3528" s="7" t="s">
        <v>1136</v>
      </c>
      <c r="C3528" s="7" t="s">
        <v>863</v>
      </c>
      <c r="D3528" s="38">
        <f>D3490</f>
        <v>7.03</v>
      </c>
      <c r="E3528" s="9">
        <f>55*1.2</f>
        <v>66</v>
      </c>
      <c r="F3528" s="34">
        <f t="shared" si="231"/>
        <v>463.98</v>
      </c>
    </row>
    <row r="3529" customHeight="1" spans="1:6">
      <c r="A3529" s="7"/>
      <c r="B3529" s="7" t="s">
        <v>996</v>
      </c>
      <c r="C3529" s="7" t="s">
        <v>1187</v>
      </c>
      <c r="D3529" s="38">
        <f>D3491</f>
        <v>2238.008025</v>
      </c>
      <c r="E3529" s="319">
        <f>2*1.2</f>
        <v>2.4</v>
      </c>
      <c r="F3529" s="34">
        <f t="shared" si="231"/>
        <v>5371.21926</v>
      </c>
    </row>
    <row r="3530" customHeight="1" spans="1:6">
      <c r="A3530" s="7"/>
      <c r="B3530" s="7" t="s">
        <v>952</v>
      </c>
      <c r="C3530" s="9" t="s">
        <v>845</v>
      </c>
      <c r="D3530" s="34">
        <f>SUM(F3524:F3529)</f>
        <v>12500.507424</v>
      </c>
      <c r="E3530" s="9">
        <v>3</v>
      </c>
      <c r="F3530" s="34">
        <f>D3530*E3530/100</f>
        <v>375.01522272</v>
      </c>
    </row>
    <row r="3531" customHeight="1" spans="1:6">
      <c r="A3531" s="7">
        <v>3</v>
      </c>
      <c r="B3531" s="7" t="s">
        <v>859</v>
      </c>
      <c r="C3531" s="7"/>
      <c r="D3531" s="34"/>
      <c r="E3531" s="34"/>
      <c r="F3531" s="34">
        <f>SUM(F3532:F3534)</f>
        <v>1795.6746945353</v>
      </c>
    </row>
    <row r="3532" customHeight="1" spans="1:6">
      <c r="A3532" s="7"/>
      <c r="B3532" s="7" t="s">
        <v>1188</v>
      </c>
      <c r="C3532" s="7" t="s">
        <v>428</v>
      </c>
      <c r="D3532" s="34">
        <f>D3494</f>
        <v>13.137592341444</v>
      </c>
      <c r="E3532" s="34">
        <f>65*1.2</f>
        <v>78</v>
      </c>
      <c r="F3532" s="34">
        <f>D3532*E3532</f>
        <v>1024.73220263263</v>
      </c>
    </row>
    <row r="3533" customHeight="1" spans="1:6">
      <c r="A3533" s="7"/>
      <c r="B3533" s="7" t="s">
        <v>1189</v>
      </c>
      <c r="C3533" s="7" t="s">
        <v>428</v>
      </c>
      <c r="D3533" s="34">
        <f>D3495</f>
        <v>3.89550857598724</v>
      </c>
      <c r="E3533" s="34">
        <f>130*1.2</f>
        <v>156</v>
      </c>
      <c r="F3533" s="34">
        <f>D3533*E3533</f>
        <v>607.699337854009</v>
      </c>
    </row>
    <row r="3534" customHeight="1" spans="1:6">
      <c r="A3534" s="7"/>
      <c r="B3534" s="7" t="s">
        <v>918</v>
      </c>
      <c r="C3534" s="9" t="s">
        <v>845</v>
      </c>
      <c r="D3534" s="34">
        <f>SUM(F3532:F3533)</f>
        <v>1632.43154048664</v>
      </c>
      <c r="E3534" s="34">
        <v>10</v>
      </c>
      <c r="F3534" s="34">
        <f>D3534*E3534/100</f>
        <v>163.243154048664</v>
      </c>
    </row>
    <row r="3535" customHeight="1" spans="1:6">
      <c r="A3535" s="7" t="s">
        <v>564</v>
      </c>
      <c r="B3535" s="7" t="s">
        <v>846</v>
      </c>
      <c r="C3535" s="230">
        <f>取费表!$C$12</f>
        <v>0.048</v>
      </c>
      <c r="D3535" s="34"/>
      <c r="E3535" s="34">
        <f>F3519</f>
        <v>23516.8725412553</v>
      </c>
      <c r="F3535" s="34">
        <f>E3535*C3535</f>
        <v>1128.80988198025</v>
      </c>
    </row>
    <row r="3536" customHeight="1" spans="1:6">
      <c r="A3536" s="7"/>
      <c r="B3536" s="7"/>
      <c r="C3536" s="230"/>
      <c r="D3536" s="34"/>
      <c r="E3536" s="34"/>
      <c r="F3536" s="34"/>
    </row>
    <row r="3537" customHeight="1" spans="1:6">
      <c r="A3537" s="7" t="s">
        <v>439</v>
      </c>
      <c r="B3537" s="7" t="s">
        <v>847</v>
      </c>
      <c r="C3537" s="230">
        <f>取费表!$E$12</f>
        <v>0.0725</v>
      </c>
      <c r="D3537" s="34"/>
      <c r="E3537" s="34">
        <f>F3518</f>
        <v>24645.6824232356</v>
      </c>
      <c r="F3537" s="34">
        <f>E3537*C3537</f>
        <v>1786.81197568458</v>
      </c>
    </row>
    <row r="3538" customHeight="1" spans="1:6">
      <c r="A3538" s="7" t="s">
        <v>83</v>
      </c>
      <c r="B3538" s="7" t="s">
        <v>848</v>
      </c>
      <c r="C3538" s="230">
        <f>取费表!$F$12</f>
        <v>0.05</v>
      </c>
      <c r="D3538" s="34"/>
      <c r="E3538" s="34">
        <f>F3537+F3518</f>
        <v>26432.4943989201</v>
      </c>
      <c r="F3538" s="34">
        <f>E3538*C3538</f>
        <v>1321.62471994601</v>
      </c>
    </row>
    <row r="3539" customHeight="1" spans="1:6">
      <c r="A3539" s="7"/>
      <c r="B3539" s="7" t="s">
        <v>1190</v>
      </c>
      <c r="C3539" s="257"/>
      <c r="D3539" s="34"/>
      <c r="E3539" s="34"/>
      <c r="F3539" s="34">
        <f>F3540+F3541</f>
        <v>223932</v>
      </c>
    </row>
    <row r="3540" customHeight="1" spans="1:6">
      <c r="A3540" s="7"/>
      <c r="B3540" s="7" t="s">
        <v>1208</v>
      </c>
      <c r="C3540" s="7" t="s">
        <v>1184</v>
      </c>
      <c r="D3540" s="34">
        <v>2239.32</v>
      </c>
      <c r="E3540" s="9">
        <v>100</v>
      </c>
      <c r="F3540" s="34">
        <f>D3540*E3540</f>
        <v>223932</v>
      </c>
    </row>
    <row r="3541" customHeight="1" spans="1:6">
      <c r="A3541" s="7"/>
      <c r="B3541" s="7"/>
      <c r="C3541" s="7"/>
      <c r="D3541" s="34"/>
      <c r="E3541" s="319"/>
      <c r="F3541" s="34"/>
    </row>
    <row r="3542" customHeight="1" spans="1:6">
      <c r="A3542" s="7" t="s">
        <v>121</v>
      </c>
      <c r="B3542" s="7" t="s">
        <v>849</v>
      </c>
      <c r="C3542" s="231">
        <f>C3504</f>
        <v>0.09</v>
      </c>
      <c r="D3542" s="34"/>
      <c r="E3542" s="34">
        <f>E3538+F3538+F3539</f>
        <v>251686.119118866</v>
      </c>
      <c r="F3542" s="34">
        <f>E3542*C3542</f>
        <v>22651.7507206979</v>
      </c>
    </row>
    <row r="3543" customHeight="1" spans="1:6">
      <c r="A3543" s="7"/>
      <c r="B3543" s="7" t="s">
        <v>850</v>
      </c>
      <c r="C3543" s="231"/>
      <c r="D3543" s="34"/>
      <c r="E3543" s="34"/>
      <c r="F3543" s="34">
        <f>(E3542+F3542)*取费表!H12</f>
        <v>8230.13609518692</v>
      </c>
    </row>
    <row r="3544" customHeight="1" spans="1:6">
      <c r="A3544" s="7"/>
      <c r="B3544" s="7" t="s">
        <v>156</v>
      </c>
      <c r="C3544" s="7"/>
      <c r="D3544" s="34"/>
      <c r="E3544" s="34"/>
      <c r="F3544" s="34">
        <f>E3542+F3542+F3543</f>
        <v>282568.005934751</v>
      </c>
    </row>
    <row r="3545" customHeight="1" spans="1:6">
      <c r="A3545" s="7"/>
      <c r="B3545" s="7"/>
      <c r="C3545" s="7"/>
      <c r="D3545" s="34"/>
      <c r="E3545" s="34"/>
      <c r="F3545" s="34"/>
    </row>
    <row r="3546" customHeight="1" spans="1:6">
      <c r="A3546" s="7"/>
      <c r="B3546" s="7"/>
      <c r="C3546" s="7"/>
      <c r="D3546" s="34"/>
      <c r="E3546" s="34"/>
      <c r="F3546" s="34"/>
    </row>
    <row r="3547" customHeight="1" spans="1:6">
      <c r="A3547" s="7"/>
      <c r="B3547" s="7"/>
      <c r="C3547" s="7"/>
      <c r="D3547" s="34"/>
      <c r="E3547" s="34"/>
      <c r="F3547" s="34"/>
    </row>
    <row r="3548" customHeight="1" spans="1:6">
      <c r="A3548" s="7"/>
      <c r="B3548" s="7"/>
      <c r="C3548" s="7"/>
      <c r="D3548" s="34"/>
      <c r="E3548" s="34"/>
      <c r="F3548" s="34"/>
    </row>
    <row r="3549" customHeight="1" spans="1:6">
      <c r="A3549" s="7"/>
      <c r="B3549" s="7"/>
      <c r="C3549" s="7"/>
      <c r="D3549" s="34"/>
      <c r="E3549" s="34"/>
      <c r="F3549" s="34"/>
    </row>
    <row r="3550" customHeight="1" spans="1:6">
      <c r="A3550" s="7"/>
      <c r="B3550" s="7"/>
      <c r="C3550" s="7"/>
      <c r="D3550" s="34"/>
      <c r="E3550" s="34"/>
      <c r="F3550" s="34"/>
    </row>
    <row r="3551" customHeight="1" spans="1:6">
      <c r="A3551" s="248" t="s">
        <v>881</v>
      </c>
      <c r="B3551" s="225"/>
      <c r="C3551" s="225"/>
      <c r="D3551" s="225"/>
      <c r="E3551" s="225"/>
      <c r="F3551" s="225"/>
    </row>
    <row r="3552" customHeight="1" spans="1:6">
      <c r="A3552" s="278" t="s">
        <v>1209</v>
      </c>
      <c r="B3552" s="272"/>
      <c r="C3552" s="272"/>
      <c r="D3552" s="272"/>
      <c r="E3552" s="272"/>
      <c r="F3552" s="272"/>
    </row>
    <row r="3553" customHeight="1" spans="1:6">
      <c r="A3553" s="227" t="s">
        <v>1192</v>
      </c>
      <c r="B3553" s="228"/>
      <c r="C3553" s="272"/>
      <c r="D3553" s="272"/>
      <c r="E3553" s="228" t="s">
        <v>1181</v>
      </c>
      <c r="F3553" s="228"/>
    </row>
    <row r="3554" customHeight="1" spans="1:6">
      <c r="A3554" s="146" t="s">
        <v>911</v>
      </c>
      <c r="B3554" s="233"/>
      <c r="C3554" s="233"/>
      <c r="D3554" s="233"/>
      <c r="E3554" s="233"/>
      <c r="F3554" s="147"/>
    </row>
    <row r="3555" customHeight="1" spans="1:6">
      <c r="A3555" s="7" t="s">
        <v>104</v>
      </c>
      <c r="B3555" s="7" t="s">
        <v>835</v>
      </c>
      <c r="C3555" s="7" t="s">
        <v>159</v>
      </c>
      <c r="D3555" s="7" t="s">
        <v>422</v>
      </c>
      <c r="E3555" s="7" t="s">
        <v>160</v>
      </c>
      <c r="F3555" s="7" t="s">
        <v>18</v>
      </c>
    </row>
    <row r="3556" customHeight="1" spans="1:6">
      <c r="A3556" s="7" t="s">
        <v>836</v>
      </c>
      <c r="B3556" s="7" t="s">
        <v>837</v>
      </c>
      <c r="C3556" s="7"/>
      <c r="D3556" s="7"/>
      <c r="E3556" s="7"/>
      <c r="F3556" s="34">
        <f>F3557+F3573+F3574</f>
        <v>10400.7637603973</v>
      </c>
    </row>
    <row r="3557" customHeight="1" spans="1:6">
      <c r="A3557" s="7" t="s">
        <v>539</v>
      </c>
      <c r="B3557" s="7" t="s">
        <v>838</v>
      </c>
      <c r="C3557" s="7"/>
      <c r="D3557" s="7"/>
      <c r="E3557" s="7"/>
      <c r="F3557" s="34">
        <f>F3558+F3561+F3569</f>
        <v>9924.39290114248</v>
      </c>
    </row>
    <row r="3558" customHeight="1" spans="1:6">
      <c r="A3558" s="7">
        <v>1</v>
      </c>
      <c r="B3558" s="7" t="s">
        <v>839</v>
      </c>
      <c r="C3558" s="7" t="s">
        <v>840</v>
      </c>
      <c r="D3558" s="34"/>
      <c r="E3558" s="69">
        <f>SUM(E3559:E3560)</f>
        <v>531.2</v>
      </c>
      <c r="F3558" s="69">
        <f>SUM(F3559:F3560)</f>
        <v>3931.318</v>
      </c>
    </row>
    <row r="3559" customHeight="1" spans="1:6">
      <c r="A3559" s="7"/>
      <c r="B3559" s="7" t="s">
        <v>841</v>
      </c>
      <c r="C3559" s="7" t="s">
        <v>840</v>
      </c>
      <c r="D3559" s="69">
        <f>D3445</f>
        <v>8.1</v>
      </c>
      <c r="E3559" s="69">
        <v>371.8</v>
      </c>
      <c r="F3559" s="69">
        <f>D3559*E3559</f>
        <v>3011.58</v>
      </c>
    </row>
    <row r="3560" customHeight="1" spans="1:6">
      <c r="A3560" s="7"/>
      <c r="B3560" s="7" t="s">
        <v>842</v>
      </c>
      <c r="C3560" s="7" t="s">
        <v>840</v>
      </c>
      <c r="D3560" s="69">
        <f>D3446</f>
        <v>5.77</v>
      </c>
      <c r="E3560" s="69">
        <v>159.4</v>
      </c>
      <c r="F3560" s="69">
        <f>D3560*E3560</f>
        <v>919.738</v>
      </c>
    </row>
    <row r="3561" customHeight="1" spans="1:6">
      <c r="A3561" s="7">
        <v>2</v>
      </c>
      <c r="B3561" s="7" t="s">
        <v>912</v>
      </c>
      <c r="C3561" s="7"/>
      <c r="D3561" s="34"/>
      <c r="E3561" s="34"/>
      <c r="F3561" s="34">
        <f>SUM(F3562:F3568)</f>
        <v>5093.6413806</v>
      </c>
    </row>
    <row r="3562" customHeight="1" spans="1:6">
      <c r="A3562" s="7"/>
      <c r="B3562" s="7" t="s">
        <v>1210</v>
      </c>
      <c r="C3562" s="7" t="s">
        <v>1184</v>
      </c>
      <c r="D3562" s="34"/>
      <c r="E3562" s="9">
        <v>100</v>
      </c>
      <c r="F3562" s="34">
        <f t="shared" ref="F3562:F3567" si="232">D3562*E3562</f>
        <v>0</v>
      </c>
    </row>
    <row r="3563" customHeight="1" spans="1:6">
      <c r="A3563" s="7"/>
      <c r="B3563" s="7" t="s">
        <v>1185</v>
      </c>
      <c r="C3563" s="7" t="s">
        <v>363</v>
      </c>
      <c r="D3563" s="7">
        <v>102.56</v>
      </c>
      <c r="E3563" s="9">
        <v>21</v>
      </c>
      <c r="F3563" s="34">
        <f t="shared" si="232"/>
        <v>2153.76</v>
      </c>
    </row>
    <row r="3564" customHeight="1" spans="1:6">
      <c r="A3564" s="7"/>
      <c r="B3564" s="7" t="s">
        <v>1186</v>
      </c>
      <c r="C3564" s="7" t="s">
        <v>1187</v>
      </c>
      <c r="D3564" s="38">
        <f>D3450</f>
        <v>144.54347</v>
      </c>
      <c r="E3564" s="7">
        <v>1</v>
      </c>
      <c r="F3564" s="34">
        <f t="shared" si="232"/>
        <v>144.54347</v>
      </c>
    </row>
    <row r="3565" customHeight="1" spans="1:6">
      <c r="A3565" s="7"/>
      <c r="B3565" s="7" t="s">
        <v>998</v>
      </c>
      <c r="C3565" s="7" t="s">
        <v>863</v>
      </c>
      <c r="D3565" s="38">
        <f>D3451</f>
        <v>4.5</v>
      </c>
      <c r="E3565" s="9">
        <v>10</v>
      </c>
      <c r="F3565" s="34">
        <f t="shared" si="232"/>
        <v>45</v>
      </c>
    </row>
    <row r="3566" customHeight="1" spans="1:6">
      <c r="A3566" s="7"/>
      <c r="B3566" s="7" t="s">
        <v>1136</v>
      </c>
      <c r="C3566" s="7" t="s">
        <v>863</v>
      </c>
      <c r="D3566" s="38">
        <f>D3452</f>
        <v>7.03</v>
      </c>
      <c r="E3566" s="9">
        <v>34</v>
      </c>
      <c r="F3566" s="34">
        <f t="shared" si="232"/>
        <v>239.02</v>
      </c>
    </row>
    <row r="3567" customHeight="1" spans="1:6">
      <c r="A3567" s="7"/>
      <c r="B3567" s="7" t="s">
        <v>996</v>
      </c>
      <c r="C3567" s="7" t="s">
        <v>1187</v>
      </c>
      <c r="D3567" s="38">
        <f>D3453</f>
        <v>2238.008025</v>
      </c>
      <c r="E3567" s="9">
        <v>1</v>
      </c>
      <c r="F3567" s="34">
        <f t="shared" si="232"/>
        <v>2238.008025</v>
      </c>
    </row>
    <row r="3568" customHeight="1" spans="1:6">
      <c r="A3568" s="7"/>
      <c r="B3568" s="7" t="s">
        <v>952</v>
      </c>
      <c r="C3568" s="9" t="s">
        <v>845</v>
      </c>
      <c r="D3568" s="38">
        <f>D3454</f>
        <v>9110.32952</v>
      </c>
      <c r="E3568" s="9">
        <v>3</v>
      </c>
      <c r="F3568" s="34">
        <f>D3568*E3568/100</f>
        <v>273.3098856</v>
      </c>
    </row>
    <row r="3569" customHeight="1" spans="1:6">
      <c r="A3569" s="7">
        <v>3</v>
      </c>
      <c r="B3569" s="7" t="s">
        <v>859</v>
      </c>
      <c r="C3569" s="7"/>
      <c r="D3569" s="34"/>
      <c r="E3569" s="34"/>
      <c r="F3569" s="34">
        <f>SUM(F3570:F3572)</f>
        <v>899.433520542481</v>
      </c>
    </row>
    <row r="3570" customHeight="1" spans="1:6">
      <c r="A3570" s="7"/>
      <c r="B3570" s="7" t="s">
        <v>1188</v>
      </c>
      <c r="C3570" s="7" t="s">
        <v>428</v>
      </c>
      <c r="D3570" s="34">
        <f>D3456</f>
        <v>13.137592341444</v>
      </c>
      <c r="E3570" s="34">
        <v>40</v>
      </c>
      <c r="F3570" s="34">
        <f>D3570*E3570</f>
        <v>525.503693657758</v>
      </c>
    </row>
    <row r="3571" customHeight="1" spans="1:6">
      <c r="A3571" s="7"/>
      <c r="B3571" s="7" t="s">
        <v>1189</v>
      </c>
      <c r="C3571" s="7" t="s">
        <v>428</v>
      </c>
      <c r="D3571" s="34">
        <f>D3457</f>
        <v>3.89550857598724</v>
      </c>
      <c r="E3571" s="34">
        <v>75</v>
      </c>
      <c r="F3571" s="34">
        <f>D3571*E3571</f>
        <v>292.163143199043</v>
      </c>
    </row>
    <row r="3572" customHeight="1" spans="1:6">
      <c r="A3572" s="7"/>
      <c r="B3572" s="7" t="s">
        <v>918</v>
      </c>
      <c r="C3572" s="9" t="s">
        <v>845</v>
      </c>
      <c r="D3572" s="34">
        <f>SUM(F3570:F3571)</f>
        <v>817.666836856801</v>
      </c>
      <c r="E3572" s="34">
        <v>10</v>
      </c>
      <c r="F3572" s="34">
        <f>D3572*E3572/100</f>
        <v>81.7666836856801</v>
      </c>
    </row>
    <row r="3573" customHeight="1" spans="1:6">
      <c r="A3573" s="7" t="s">
        <v>564</v>
      </c>
      <c r="B3573" s="7" t="s">
        <v>846</v>
      </c>
      <c r="C3573" s="230">
        <f>取费表!$C$12</f>
        <v>0.048</v>
      </c>
      <c r="D3573" s="34"/>
      <c r="E3573" s="34">
        <f>F3557</f>
        <v>9924.39290114248</v>
      </c>
      <c r="F3573" s="34">
        <f>E3573*C3573</f>
        <v>476.370859254839</v>
      </c>
    </row>
    <row r="3574" customHeight="1" spans="1:6">
      <c r="A3574" s="7"/>
      <c r="B3574" s="7"/>
      <c r="C3574" s="230"/>
      <c r="D3574" s="34"/>
      <c r="E3574" s="34"/>
      <c r="F3574" s="34"/>
    </row>
    <row r="3575" customHeight="1" spans="1:6">
      <c r="A3575" s="7" t="s">
        <v>439</v>
      </c>
      <c r="B3575" s="7" t="s">
        <v>847</v>
      </c>
      <c r="C3575" s="230">
        <f>取费表!$E$12</f>
        <v>0.0725</v>
      </c>
      <c r="D3575" s="34"/>
      <c r="E3575" s="34">
        <f>F3556</f>
        <v>10400.7637603973</v>
      </c>
      <c r="F3575" s="34">
        <f>E3575*C3575</f>
        <v>754.055372628806</v>
      </c>
    </row>
    <row r="3576" customHeight="1" spans="1:6">
      <c r="A3576" s="7" t="s">
        <v>83</v>
      </c>
      <c r="B3576" s="7" t="s">
        <v>848</v>
      </c>
      <c r="C3576" s="230">
        <f>取费表!$F$12</f>
        <v>0.05</v>
      </c>
      <c r="D3576" s="34"/>
      <c r="E3576" s="34">
        <f>F3575+F3556</f>
        <v>11154.8191330261</v>
      </c>
      <c r="F3576" s="34">
        <f>E3576*C3576</f>
        <v>557.740956651306</v>
      </c>
    </row>
    <row r="3577" customHeight="1" spans="1:6">
      <c r="A3577" s="7"/>
      <c r="B3577" s="7" t="s">
        <v>1190</v>
      </c>
      <c r="C3577" s="257"/>
      <c r="D3577" s="34"/>
      <c r="E3577" s="34"/>
      <c r="F3577" s="34">
        <f>F3578+F3579</f>
        <v>0</v>
      </c>
    </row>
    <row r="3578" customHeight="1" spans="1:6">
      <c r="A3578" s="7"/>
      <c r="B3578" s="7" t="s">
        <v>1211</v>
      </c>
      <c r="C3578" s="7" t="s">
        <v>1184</v>
      </c>
      <c r="D3578" s="34"/>
      <c r="E3578" s="9">
        <v>100</v>
      </c>
      <c r="F3578" s="34">
        <f>D3578*E3578</f>
        <v>0</v>
      </c>
    </row>
    <row r="3579" customHeight="1" spans="1:6">
      <c r="A3579" s="7"/>
      <c r="B3579" s="7"/>
      <c r="C3579" s="7"/>
      <c r="D3579" s="34"/>
      <c r="E3579" s="9"/>
      <c r="F3579" s="34"/>
    </row>
    <row r="3580" customHeight="1" spans="1:6">
      <c r="A3580" s="7" t="s">
        <v>121</v>
      </c>
      <c r="B3580" s="7" t="s">
        <v>849</v>
      </c>
      <c r="C3580" s="231">
        <f>C3466</f>
        <v>0.09</v>
      </c>
      <c r="D3580" s="34"/>
      <c r="E3580" s="34">
        <f>E3576+F3576+F3577</f>
        <v>11712.5600896774</v>
      </c>
      <c r="F3580" s="34">
        <f>E3580*C3580</f>
        <v>1054.13040807097</v>
      </c>
    </row>
    <row r="3581" customHeight="1" spans="1:6">
      <c r="A3581" s="7"/>
      <c r="B3581" s="7" t="s">
        <v>850</v>
      </c>
      <c r="C3581" s="231"/>
      <c r="D3581" s="34"/>
      <c r="E3581" s="34"/>
      <c r="F3581" s="34">
        <f>(E3580+F3580)*取费表!H12</f>
        <v>383.000714932452</v>
      </c>
    </row>
    <row r="3582" customHeight="1" spans="1:6">
      <c r="A3582" s="7"/>
      <c r="B3582" s="7" t="s">
        <v>156</v>
      </c>
      <c r="C3582" s="7"/>
      <c r="D3582" s="34"/>
      <c r="E3582" s="34"/>
      <c r="F3582" s="34">
        <f>E3580+F3580+F3581</f>
        <v>13149.6912126809</v>
      </c>
    </row>
    <row r="3583" customHeight="1" spans="1:6">
      <c r="A3583" s="7"/>
      <c r="B3583" s="7"/>
      <c r="C3583" s="7"/>
      <c r="D3583" s="34"/>
      <c r="E3583" s="34"/>
      <c r="F3583" s="34"/>
    </row>
    <row r="3584" customHeight="1" spans="1:6">
      <c r="A3584" s="7"/>
      <c r="B3584" s="7"/>
      <c r="C3584" s="7"/>
      <c r="D3584" s="34"/>
      <c r="E3584" s="34"/>
      <c r="F3584" s="34"/>
    </row>
    <row r="3585" customHeight="1" spans="1:6">
      <c r="A3585" s="7"/>
      <c r="B3585" s="7"/>
      <c r="C3585" s="7"/>
      <c r="D3585" s="34"/>
      <c r="E3585" s="34"/>
      <c r="F3585" s="34"/>
    </row>
    <row r="3586" customHeight="1" spans="1:6">
      <c r="A3586" s="7"/>
      <c r="B3586" s="7"/>
      <c r="C3586" s="7"/>
      <c r="D3586" s="34"/>
      <c r="E3586" s="34"/>
      <c r="F3586" s="34"/>
    </row>
    <row r="3587" customHeight="1" spans="1:6">
      <c r="A3587" s="7"/>
      <c r="B3587" s="7"/>
      <c r="C3587" s="7"/>
      <c r="D3587" s="34"/>
      <c r="E3587" s="34"/>
      <c r="F3587" s="34"/>
    </row>
    <row r="3588" customHeight="1" spans="1:6">
      <c r="A3588" s="7"/>
      <c r="B3588" s="7"/>
      <c r="C3588" s="7"/>
      <c r="D3588" s="34"/>
      <c r="E3588" s="34"/>
      <c r="F3588" s="34"/>
    </row>
    <row r="3589" customHeight="1" spans="1:6">
      <c r="A3589" s="248" t="s">
        <v>881</v>
      </c>
      <c r="B3589" s="225"/>
      <c r="C3589" s="225"/>
      <c r="D3589" s="225"/>
      <c r="E3589" s="225"/>
      <c r="F3589" s="225"/>
    </row>
    <row r="3590" customHeight="1" spans="1:6">
      <c r="A3590" s="278" t="s">
        <v>1212</v>
      </c>
      <c r="B3590" s="272"/>
      <c r="C3590" s="272"/>
      <c r="D3590" s="272"/>
      <c r="E3590" s="272"/>
      <c r="F3590" s="272"/>
    </row>
    <row r="3591" customHeight="1" spans="1:6">
      <c r="A3591" s="228" t="s">
        <v>1180</v>
      </c>
      <c r="B3591" s="228"/>
      <c r="C3591" s="229"/>
      <c r="D3591" s="229"/>
      <c r="E3591" s="228" t="s">
        <v>1181</v>
      </c>
      <c r="F3591" s="228"/>
    </row>
    <row r="3592" customHeight="1" spans="1:6">
      <c r="A3592" s="146" t="s">
        <v>947</v>
      </c>
      <c r="B3592" s="233"/>
      <c r="C3592" s="233"/>
      <c r="D3592" s="233"/>
      <c r="E3592" s="233"/>
      <c r="F3592" s="147"/>
    </row>
    <row r="3593" customHeight="1" spans="1:6">
      <c r="A3593" s="7" t="s">
        <v>104</v>
      </c>
      <c r="B3593" s="7" t="s">
        <v>835</v>
      </c>
      <c r="C3593" s="7" t="s">
        <v>159</v>
      </c>
      <c r="D3593" s="7" t="s">
        <v>422</v>
      </c>
      <c r="E3593" s="7" t="s">
        <v>160</v>
      </c>
      <c r="F3593" s="7" t="s">
        <v>18</v>
      </c>
    </row>
    <row r="3594" customHeight="1" spans="1:6">
      <c r="A3594" s="7" t="s">
        <v>836</v>
      </c>
      <c r="B3594" s="7" t="s">
        <v>837</v>
      </c>
      <c r="C3594" s="7"/>
      <c r="D3594" s="7"/>
      <c r="E3594" s="7"/>
      <c r="F3594" s="34">
        <f>F3595+F3611+F3612</f>
        <v>3649.77796401674</v>
      </c>
    </row>
    <row r="3595" customHeight="1" spans="1:6">
      <c r="A3595" s="7" t="s">
        <v>539</v>
      </c>
      <c r="B3595" s="7" t="s">
        <v>838</v>
      </c>
      <c r="C3595" s="7"/>
      <c r="D3595" s="7"/>
      <c r="E3595" s="7"/>
      <c r="F3595" s="34">
        <f>F3596+F3599+F3607</f>
        <v>3482.61256108467</v>
      </c>
    </row>
    <row r="3596" customHeight="1" spans="1:6">
      <c r="A3596" s="7">
        <v>1</v>
      </c>
      <c r="B3596" s="7" t="s">
        <v>839</v>
      </c>
      <c r="C3596" s="7" t="s">
        <v>840</v>
      </c>
      <c r="D3596" s="34"/>
      <c r="E3596" s="69">
        <f>SUM(E3597:E3598)</f>
        <v>195.3</v>
      </c>
      <c r="F3596" s="69">
        <f>SUM(F3597:F3598)</f>
        <v>1445.392</v>
      </c>
    </row>
    <row r="3597" customHeight="1" spans="1:6">
      <c r="A3597" s="7"/>
      <c r="B3597" s="7" t="s">
        <v>841</v>
      </c>
      <c r="C3597" s="7" t="s">
        <v>840</v>
      </c>
      <c r="D3597" s="69">
        <f>D3521</f>
        <v>8.1</v>
      </c>
      <c r="E3597" s="69">
        <v>136.7</v>
      </c>
      <c r="F3597" s="69">
        <f>D3597*E3597</f>
        <v>1107.27</v>
      </c>
    </row>
    <row r="3598" customHeight="1" spans="1:6">
      <c r="A3598" s="7"/>
      <c r="B3598" s="7" t="s">
        <v>842</v>
      </c>
      <c r="C3598" s="7" t="s">
        <v>840</v>
      </c>
      <c r="D3598" s="69">
        <f>D3522</f>
        <v>5.77</v>
      </c>
      <c r="E3598" s="69">
        <v>58.6</v>
      </c>
      <c r="F3598" s="69">
        <f>D3598*E3598</f>
        <v>338.122</v>
      </c>
    </row>
    <row r="3599" customHeight="1" spans="1:6">
      <c r="A3599" s="7">
        <v>2</v>
      </c>
      <c r="B3599" s="7" t="s">
        <v>912</v>
      </c>
      <c r="C3599" s="7"/>
      <c r="D3599" s="34"/>
      <c r="E3599" s="34"/>
      <c r="F3599" s="34">
        <f>SUM(F3600:F3606)</f>
        <v>1828.431153825</v>
      </c>
    </row>
    <row r="3600" customHeight="1" spans="1:6">
      <c r="A3600" s="7"/>
      <c r="B3600" s="7" t="s">
        <v>1213</v>
      </c>
      <c r="C3600" s="7" t="s">
        <v>1184</v>
      </c>
      <c r="D3600" s="69"/>
      <c r="E3600" s="9">
        <v>100</v>
      </c>
      <c r="F3600" s="34">
        <f t="shared" ref="F3600:F3605" si="233">D3600*E3600</f>
        <v>0</v>
      </c>
    </row>
    <row r="3601" customHeight="1" spans="1:6">
      <c r="A3601" s="7"/>
      <c r="B3601" s="7" t="s">
        <v>1185</v>
      </c>
      <c r="C3601" s="7" t="s">
        <v>363</v>
      </c>
      <c r="D3601" s="7">
        <v>38.46</v>
      </c>
      <c r="E3601" s="9">
        <v>21</v>
      </c>
      <c r="F3601" s="34">
        <f t="shared" si="233"/>
        <v>807.66</v>
      </c>
    </row>
    <row r="3602" customHeight="1" spans="1:6">
      <c r="A3602" s="7"/>
      <c r="B3602" s="7" t="s">
        <v>1186</v>
      </c>
      <c r="C3602" s="7" t="s">
        <v>1187</v>
      </c>
      <c r="D3602" s="38">
        <f>D3526</f>
        <v>144.54347</v>
      </c>
      <c r="E3602" s="7">
        <v>1</v>
      </c>
      <c r="F3602" s="34">
        <f t="shared" si="233"/>
        <v>144.54347</v>
      </c>
    </row>
    <row r="3603" customHeight="1" spans="1:6">
      <c r="A3603" s="7"/>
      <c r="B3603" s="7" t="s">
        <v>998</v>
      </c>
      <c r="C3603" s="7" t="s">
        <v>863</v>
      </c>
      <c r="D3603" s="38">
        <f>D3527</f>
        <v>4.5</v>
      </c>
      <c r="E3603" s="9">
        <v>4</v>
      </c>
      <c r="F3603" s="34">
        <f t="shared" si="233"/>
        <v>18</v>
      </c>
    </row>
    <row r="3604" customHeight="1" spans="1:6">
      <c r="A3604" s="7"/>
      <c r="B3604" s="7" t="s">
        <v>1136</v>
      </c>
      <c r="C3604" s="7" t="s">
        <v>863</v>
      </c>
      <c r="D3604" s="38">
        <f>D3528</f>
        <v>7.03</v>
      </c>
      <c r="E3604" s="9">
        <v>19</v>
      </c>
      <c r="F3604" s="34">
        <f t="shared" si="233"/>
        <v>133.57</v>
      </c>
    </row>
    <row r="3605" customHeight="1" spans="1:6">
      <c r="A3605" s="7"/>
      <c r="B3605" s="7" t="s">
        <v>996</v>
      </c>
      <c r="C3605" s="7" t="s">
        <v>1187</v>
      </c>
      <c r="D3605" s="38">
        <f>D3529</f>
        <v>2238.008025</v>
      </c>
      <c r="E3605" s="9">
        <v>0.3</v>
      </c>
      <c r="F3605" s="34">
        <f t="shared" si="233"/>
        <v>671.4024075</v>
      </c>
    </row>
    <row r="3606" customHeight="1" spans="1:6">
      <c r="A3606" s="7"/>
      <c r="B3606" s="7" t="s">
        <v>952</v>
      </c>
      <c r="C3606" s="9" t="s">
        <v>845</v>
      </c>
      <c r="D3606" s="34">
        <f>SUM(F3600:F3605)</f>
        <v>1775.1758775</v>
      </c>
      <c r="E3606" s="9">
        <v>3</v>
      </c>
      <c r="F3606" s="34">
        <f>D3606*E3606/100</f>
        <v>53.255276325</v>
      </c>
    </row>
    <row r="3607" customHeight="1" spans="1:6">
      <c r="A3607" s="7">
        <v>3</v>
      </c>
      <c r="B3607" s="7" t="s">
        <v>859</v>
      </c>
      <c r="C3607" s="7"/>
      <c r="D3607" s="34"/>
      <c r="E3607" s="34"/>
      <c r="F3607" s="34">
        <f>SUM(F3608:F3610)</f>
        <v>208.789407259673</v>
      </c>
    </row>
    <row r="3608" customHeight="1" spans="1:6">
      <c r="A3608" s="7"/>
      <c r="B3608" s="7" t="s">
        <v>1188</v>
      </c>
      <c r="C3608" s="7" t="s">
        <v>428</v>
      </c>
      <c r="D3608" s="34">
        <f>D3532</f>
        <v>13.137592341444</v>
      </c>
      <c r="E3608" s="34">
        <v>10</v>
      </c>
      <c r="F3608" s="34">
        <f>D3608*E3608</f>
        <v>131.37592341444</v>
      </c>
    </row>
    <row r="3609" customHeight="1" spans="1:6">
      <c r="A3609" s="7"/>
      <c r="B3609" s="7" t="s">
        <v>1189</v>
      </c>
      <c r="C3609" s="7" t="s">
        <v>428</v>
      </c>
      <c r="D3609" s="34">
        <f>D3533</f>
        <v>3.89550857598724</v>
      </c>
      <c r="E3609" s="34">
        <v>15</v>
      </c>
      <c r="F3609" s="34">
        <f>D3609*E3609</f>
        <v>58.4326286398085</v>
      </c>
    </row>
    <row r="3610" customHeight="1" spans="1:6">
      <c r="A3610" s="7"/>
      <c r="B3610" s="7" t="s">
        <v>918</v>
      </c>
      <c r="C3610" s="9" t="s">
        <v>845</v>
      </c>
      <c r="D3610" s="34">
        <f>SUM(F3608:F3609)</f>
        <v>189.808552054248</v>
      </c>
      <c r="E3610" s="34">
        <v>10</v>
      </c>
      <c r="F3610" s="34">
        <f>D3610*E3610/100</f>
        <v>18.9808552054248</v>
      </c>
    </row>
    <row r="3611" customHeight="1" spans="1:6">
      <c r="A3611" s="7" t="s">
        <v>564</v>
      </c>
      <c r="B3611" s="7" t="s">
        <v>846</v>
      </c>
      <c r="C3611" s="230">
        <f>C3573</f>
        <v>0.048</v>
      </c>
      <c r="D3611" s="34"/>
      <c r="E3611" s="34">
        <f>F3595</f>
        <v>3482.61256108467</v>
      </c>
      <c r="F3611" s="34">
        <f>E3611*C3611</f>
        <v>167.165402932064</v>
      </c>
    </row>
    <row r="3612" customHeight="1" spans="1:6">
      <c r="A3612" s="7"/>
      <c r="B3612" s="7"/>
      <c r="C3612" s="230"/>
      <c r="D3612" s="34"/>
      <c r="E3612" s="34"/>
      <c r="F3612" s="34"/>
    </row>
    <row r="3613" customHeight="1" spans="1:6">
      <c r="A3613" s="7" t="s">
        <v>439</v>
      </c>
      <c r="B3613" s="7" t="s">
        <v>847</v>
      </c>
      <c r="C3613" s="230">
        <f>C3575</f>
        <v>0.0725</v>
      </c>
      <c r="D3613" s="34"/>
      <c r="E3613" s="34">
        <f>F3594</f>
        <v>3649.77796401674</v>
      </c>
      <c r="F3613" s="34">
        <f>E3613*C3613</f>
        <v>264.608902391213</v>
      </c>
    </row>
    <row r="3614" customHeight="1" spans="1:6">
      <c r="A3614" s="7" t="s">
        <v>83</v>
      </c>
      <c r="B3614" s="7" t="s">
        <v>848</v>
      </c>
      <c r="C3614" s="230">
        <f>C3576</f>
        <v>0.05</v>
      </c>
      <c r="D3614" s="34"/>
      <c r="E3614" s="34">
        <f>F3613+F3594</f>
        <v>3914.38686640795</v>
      </c>
      <c r="F3614" s="34">
        <f>E3614*C3614</f>
        <v>195.719343320398</v>
      </c>
    </row>
    <row r="3615" customHeight="1" spans="1:6">
      <c r="A3615" s="7"/>
      <c r="B3615" s="7" t="s">
        <v>1190</v>
      </c>
      <c r="C3615" s="257"/>
      <c r="D3615" s="34"/>
      <c r="E3615" s="34"/>
      <c r="F3615" s="34">
        <f>F3616+F3617</f>
        <v>0</v>
      </c>
    </row>
    <row r="3616" customHeight="1" spans="1:6">
      <c r="A3616" s="7"/>
      <c r="B3616" s="7"/>
      <c r="C3616" s="7"/>
      <c r="D3616" s="34"/>
      <c r="E3616" s="34"/>
      <c r="F3616" s="34"/>
    </row>
    <row r="3617" customHeight="1" spans="1:6">
      <c r="A3617" s="7"/>
      <c r="B3617" s="7"/>
      <c r="C3617" s="7"/>
      <c r="D3617" s="34"/>
      <c r="E3617" s="34"/>
      <c r="F3617" s="34"/>
    </row>
    <row r="3618" customHeight="1" spans="1:6">
      <c r="A3618" s="7" t="s">
        <v>121</v>
      </c>
      <c r="B3618" s="7" t="s">
        <v>849</v>
      </c>
      <c r="C3618" s="231">
        <f>C3542</f>
        <v>0.09</v>
      </c>
      <c r="D3618" s="34"/>
      <c r="E3618" s="34">
        <f>E3614+F3614+F3615</f>
        <v>4110.10620972835</v>
      </c>
      <c r="F3618" s="34">
        <f>E3618*C3618</f>
        <v>369.909558875551</v>
      </c>
    </row>
    <row r="3619" customHeight="1" spans="1:6">
      <c r="A3619" s="7"/>
      <c r="B3619" s="7" t="s">
        <v>850</v>
      </c>
      <c r="C3619" s="231"/>
      <c r="D3619" s="34"/>
      <c r="E3619" s="34"/>
      <c r="F3619" s="34">
        <f>(E3618+F3618)*取费表!H12</f>
        <v>134.400473058117</v>
      </c>
    </row>
    <row r="3620" customHeight="1" spans="1:6">
      <c r="A3620" s="7"/>
      <c r="B3620" s="7" t="s">
        <v>156</v>
      </c>
      <c r="C3620" s="7"/>
      <c r="D3620" s="34"/>
      <c r="E3620" s="34"/>
      <c r="F3620" s="34">
        <f>E3618+F3618+F3619</f>
        <v>4614.41624166202</v>
      </c>
    </row>
    <row r="3621" customHeight="1" spans="1:6">
      <c r="A3621" s="7"/>
      <c r="B3621" s="7"/>
      <c r="C3621" s="7"/>
      <c r="D3621" s="34"/>
      <c r="E3621" s="34"/>
      <c r="F3621" s="34"/>
    </row>
    <row r="3622" customHeight="1" spans="1:6">
      <c r="A3622" s="7"/>
      <c r="B3622" s="7"/>
      <c r="C3622" s="7"/>
      <c r="D3622" s="34"/>
      <c r="E3622" s="34"/>
      <c r="F3622" s="34"/>
    </row>
    <row r="3623" customHeight="1" spans="1:6">
      <c r="A3623" s="7"/>
      <c r="B3623" s="7"/>
      <c r="C3623" s="7"/>
      <c r="D3623" s="34"/>
      <c r="E3623" s="34"/>
      <c r="F3623" s="34"/>
    </row>
    <row r="3624" customHeight="1" spans="1:6">
      <c r="A3624" s="7"/>
      <c r="B3624" s="7"/>
      <c r="C3624" s="7"/>
      <c r="D3624" s="34"/>
      <c r="E3624" s="34"/>
      <c r="F3624" s="34"/>
    </row>
    <row r="3625" customHeight="1" spans="1:6">
      <c r="A3625" s="7"/>
      <c r="B3625" s="7"/>
      <c r="C3625" s="7"/>
      <c r="D3625" s="34"/>
      <c r="E3625" s="34"/>
      <c r="F3625" s="34"/>
    </row>
    <row r="3626" customHeight="1" spans="1:6">
      <c r="A3626" s="7"/>
      <c r="B3626" s="7"/>
      <c r="C3626" s="7"/>
      <c r="D3626" s="34"/>
      <c r="E3626" s="34"/>
      <c r="F3626" s="34"/>
    </row>
    <row r="3627" customHeight="1" spans="1:6">
      <c r="A3627" s="248" t="s">
        <v>881</v>
      </c>
      <c r="B3627" s="225"/>
      <c r="C3627" s="225"/>
      <c r="D3627" s="225"/>
      <c r="E3627" s="225"/>
      <c r="F3627" s="225"/>
    </row>
    <row r="3628" customHeight="1" spans="1:6">
      <c r="A3628" s="278" t="s">
        <v>1214</v>
      </c>
      <c r="B3628" s="272"/>
      <c r="C3628" s="272"/>
      <c r="D3628" s="272"/>
      <c r="E3628" s="272"/>
      <c r="F3628" s="272"/>
    </row>
    <row r="3629" customHeight="1" spans="1:6">
      <c r="A3629" s="228" t="s">
        <v>1180</v>
      </c>
      <c r="B3629" s="228"/>
      <c r="C3629" s="229"/>
      <c r="D3629" s="229"/>
      <c r="E3629" s="228" t="s">
        <v>1181</v>
      </c>
      <c r="F3629" s="228"/>
    </row>
    <row r="3630" customHeight="1" spans="1:6">
      <c r="A3630" s="146" t="s">
        <v>947</v>
      </c>
      <c r="B3630" s="233"/>
      <c r="C3630" s="233"/>
      <c r="D3630" s="233"/>
      <c r="E3630" s="233"/>
      <c r="F3630" s="147"/>
    </row>
    <row r="3631" customHeight="1" spans="1:6">
      <c r="A3631" s="7" t="s">
        <v>104</v>
      </c>
      <c r="B3631" s="7" t="s">
        <v>835</v>
      </c>
      <c r="C3631" s="7" t="s">
        <v>159</v>
      </c>
      <c r="D3631" s="7" t="s">
        <v>422</v>
      </c>
      <c r="E3631" s="7" t="s">
        <v>160</v>
      </c>
      <c r="F3631" s="7" t="s">
        <v>18</v>
      </c>
    </row>
    <row r="3632" customHeight="1" spans="1:6">
      <c r="A3632" s="7" t="s">
        <v>836</v>
      </c>
      <c r="B3632" s="7" t="s">
        <v>837</v>
      </c>
      <c r="C3632" s="7"/>
      <c r="D3632" s="7"/>
      <c r="E3632" s="7"/>
      <c r="F3632" s="34">
        <f>F3633+F3649+F3650</f>
        <v>5256.45781155807</v>
      </c>
    </row>
    <row r="3633" customHeight="1" spans="1:6">
      <c r="A3633" s="7" t="s">
        <v>539</v>
      </c>
      <c r="B3633" s="7" t="s">
        <v>838</v>
      </c>
      <c r="C3633" s="7"/>
      <c r="D3633" s="7"/>
      <c r="E3633" s="7"/>
      <c r="F3633" s="34">
        <f>F3634+F3637+F3645</f>
        <v>5015.70401866228</v>
      </c>
    </row>
    <row r="3634" customHeight="1" spans="1:6">
      <c r="A3634" s="7">
        <v>1</v>
      </c>
      <c r="B3634" s="7" t="s">
        <v>839</v>
      </c>
      <c r="C3634" s="7" t="s">
        <v>840</v>
      </c>
      <c r="D3634" s="34"/>
      <c r="E3634" s="69">
        <f>SUM(E3635:E3636)</f>
        <v>278.9</v>
      </c>
      <c r="F3634" s="69">
        <f>SUM(F3635:F3636)</f>
        <v>2064.069</v>
      </c>
    </row>
    <row r="3635" customHeight="1" spans="1:6">
      <c r="A3635" s="7"/>
      <c r="B3635" s="7" t="s">
        <v>841</v>
      </c>
      <c r="C3635" s="7" t="s">
        <v>840</v>
      </c>
      <c r="D3635" s="69">
        <f>D3559</f>
        <v>8.1</v>
      </c>
      <c r="E3635" s="69">
        <v>195.2</v>
      </c>
      <c r="F3635" s="69">
        <f>D3635*E3635</f>
        <v>1581.12</v>
      </c>
    </row>
    <row r="3636" customHeight="1" spans="1:6">
      <c r="A3636" s="7"/>
      <c r="B3636" s="7" t="s">
        <v>842</v>
      </c>
      <c r="C3636" s="7" t="s">
        <v>840</v>
      </c>
      <c r="D3636" s="69">
        <f>D3560</f>
        <v>5.77</v>
      </c>
      <c r="E3636" s="69">
        <v>83.7</v>
      </c>
      <c r="F3636" s="69">
        <f>D3636*E3636</f>
        <v>482.949</v>
      </c>
    </row>
    <row r="3637" customHeight="1" spans="1:6">
      <c r="A3637" s="7">
        <v>2</v>
      </c>
      <c r="B3637" s="7" t="s">
        <v>912</v>
      </c>
      <c r="C3637" s="7"/>
      <c r="D3637" s="34"/>
      <c r="E3637" s="34"/>
      <c r="F3637" s="34">
        <f>SUM(F3638:F3644)</f>
        <v>2512.630906975</v>
      </c>
    </row>
    <row r="3638" customHeight="1" spans="1:6">
      <c r="A3638" s="7"/>
      <c r="B3638" s="7" t="s">
        <v>1215</v>
      </c>
      <c r="C3638" s="7" t="s">
        <v>1184</v>
      </c>
      <c r="D3638" s="69"/>
      <c r="E3638" s="9">
        <v>100</v>
      </c>
      <c r="F3638" s="34">
        <f t="shared" ref="F3638:F3643" si="234">D3638*E3638</f>
        <v>0</v>
      </c>
    </row>
    <row r="3639" customHeight="1" spans="1:6">
      <c r="A3639" s="7"/>
      <c r="B3639" s="7" t="s">
        <v>1185</v>
      </c>
      <c r="C3639" s="7" t="s">
        <v>363</v>
      </c>
      <c r="D3639" s="7">
        <v>47.01</v>
      </c>
      <c r="E3639" s="9">
        <v>21</v>
      </c>
      <c r="F3639" s="34">
        <f t="shared" si="234"/>
        <v>987.21</v>
      </c>
    </row>
    <row r="3640" customHeight="1" spans="1:6">
      <c r="A3640" s="7"/>
      <c r="B3640" s="7" t="s">
        <v>1186</v>
      </c>
      <c r="C3640" s="7" t="s">
        <v>1187</v>
      </c>
      <c r="D3640" s="38">
        <f>D3564</f>
        <v>144.54347</v>
      </c>
      <c r="E3640" s="7">
        <v>1</v>
      </c>
      <c r="F3640" s="34">
        <f t="shared" si="234"/>
        <v>144.54347</v>
      </c>
    </row>
    <row r="3641" customHeight="1" spans="1:6">
      <c r="A3641" s="7"/>
      <c r="B3641" s="7" t="s">
        <v>998</v>
      </c>
      <c r="C3641" s="7" t="s">
        <v>863</v>
      </c>
      <c r="D3641" s="38">
        <f>D3565</f>
        <v>4.5</v>
      </c>
      <c r="E3641" s="9">
        <v>6</v>
      </c>
      <c r="F3641" s="34">
        <f t="shared" si="234"/>
        <v>27</v>
      </c>
    </row>
    <row r="3642" customHeight="1" spans="1:6">
      <c r="A3642" s="7"/>
      <c r="B3642" s="7" t="s">
        <v>1136</v>
      </c>
      <c r="C3642" s="7" t="s">
        <v>863</v>
      </c>
      <c r="D3642" s="38">
        <f>D3566</f>
        <v>7.03</v>
      </c>
      <c r="E3642" s="9">
        <v>23</v>
      </c>
      <c r="F3642" s="34">
        <f t="shared" si="234"/>
        <v>161.69</v>
      </c>
    </row>
    <row r="3643" customHeight="1" spans="1:6">
      <c r="A3643" s="7"/>
      <c r="B3643" s="7" t="s">
        <v>996</v>
      </c>
      <c r="C3643" s="7" t="s">
        <v>1187</v>
      </c>
      <c r="D3643" s="38">
        <f>D3567</f>
        <v>2238.008025</v>
      </c>
      <c r="E3643" s="9">
        <v>0.5</v>
      </c>
      <c r="F3643" s="34">
        <f t="shared" si="234"/>
        <v>1119.0040125</v>
      </c>
    </row>
    <row r="3644" customHeight="1" spans="1:6">
      <c r="A3644" s="7"/>
      <c r="B3644" s="7" t="s">
        <v>952</v>
      </c>
      <c r="C3644" s="9" t="s">
        <v>845</v>
      </c>
      <c r="D3644" s="34">
        <f>SUM(F3638:F3643)</f>
        <v>2439.4474825</v>
      </c>
      <c r="E3644" s="9">
        <v>3</v>
      </c>
      <c r="F3644" s="34">
        <f>D3644*E3644/100</f>
        <v>73.183424475</v>
      </c>
    </row>
    <row r="3645" customHeight="1" spans="1:6">
      <c r="A3645" s="7">
        <v>3</v>
      </c>
      <c r="B3645" s="7" t="s">
        <v>859</v>
      </c>
      <c r="C3645" s="7"/>
      <c r="D3645" s="34"/>
      <c r="E3645" s="34"/>
      <c r="F3645" s="34">
        <f>SUM(F3646:F3648)</f>
        <v>439.004111687276</v>
      </c>
    </row>
    <row r="3646" customHeight="1" spans="1:6">
      <c r="A3646" s="7"/>
      <c r="B3646" s="7" t="s">
        <v>1188</v>
      </c>
      <c r="C3646" s="7" t="s">
        <v>428</v>
      </c>
      <c r="D3646" s="34">
        <f>D3570</f>
        <v>13.137592341444</v>
      </c>
      <c r="E3646" s="34">
        <v>20</v>
      </c>
      <c r="F3646" s="34">
        <f>D3646*E3646</f>
        <v>262.751846828879</v>
      </c>
    </row>
    <row r="3647" customHeight="1" spans="1:6">
      <c r="A3647" s="7"/>
      <c r="B3647" s="7" t="s">
        <v>1189</v>
      </c>
      <c r="C3647" s="7" t="s">
        <v>428</v>
      </c>
      <c r="D3647" s="34">
        <f>D3571</f>
        <v>3.89550857598724</v>
      </c>
      <c r="E3647" s="34">
        <v>35</v>
      </c>
      <c r="F3647" s="34">
        <f>D3647*E3647</f>
        <v>136.342800159553</v>
      </c>
    </row>
    <row r="3648" customHeight="1" spans="1:6">
      <c r="A3648" s="7"/>
      <c r="B3648" s="7" t="s">
        <v>918</v>
      </c>
      <c r="C3648" s="9" t="s">
        <v>845</v>
      </c>
      <c r="D3648" s="34">
        <f>SUM(F3646:F3647)</f>
        <v>399.094646988432</v>
      </c>
      <c r="E3648" s="34">
        <v>10</v>
      </c>
      <c r="F3648" s="34">
        <f>D3648*E3648/100</f>
        <v>39.9094646988432</v>
      </c>
    </row>
    <row r="3649" customHeight="1" spans="1:6">
      <c r="A3649" s="7" t="s">
        <v>564</v>
      </c>
      <c r="B3649" s="7" t="s">
        <v>846</v>
      </c>
      <c r="C3649" s="230">
        <f>C3611</f>
        <v>0.048</v>
      </c>
      <c r="D3649" s="34"/>
      <c r="E3649" s="34">
        <f>F3633</f>
        <v>5015.70401866228</v>
      </c>
      <c r="F3649" s="34">
        <f>E3649*C3649</f>
        <v>240.753792895789</v>
      </c>
    </row>
    <row r="3650" customHeight="1" spans="1:6">
      <c r="A3650" s="7"/>
      <c r="B3650" s="7"/>
      <c r="C3650" s="230"/>
      <c r="D3650" s="34"/>
      <c r="E3650" s="34"/>
      <c r="F3650" s="34"/>
    </row>
    <row r="3651" customHeight="1" spans="1:6">
      <c r="A3651" s="7" t="s">
        <v>439</v>
      </c>
      <c r="B3651" s="7" t="s">
        <v>847</v>
      </c>
      <c r="C3651" s="230">
        <f>C3613</f>
        <v>0.0725</v>
      </c>
      <c r="D3651" s="34"/>
      <c r="E3651" s="34">
        <f>F3632</f>
        <v>5256.45781155807</v>
      </c>
      <c r="F3651" s="34">
        <f>E3651*C3651</f>
        <v>381.09319133796</v>
      </c>
    </row>
    <row r="3652" customHeight="1" spans="1:6">
      <c r="A3652" s="7" t="s">
        <v>83</v>
      </c>
      <c r="B3652" s="7" t="s">
        <v>848</v>
      </c>
      <c r="C3652" s="230">
        <f>C3614</f>
        <v>0.05</v>
      </c>
      <c r="D3652" s="34"/>
      <c r="E3652" s="34">
        <f>F3651+F3632</f>
        <v>5637.55100289603</v>
      </c>
      <c r="F3652" s="34">
        <f>E3652*C3652</f>
        <v>281.877550144801</v>
      </c>
    </row>
    <row r="3653" customHeight="1" spans="1:6">
      <c r="A3653" s="7"/>
      <c r="B3653" s="7" t="s">
        <v>1190</v>
      </c>
      <c r="C3653" s="257"/>
      <c r="D3653" s="34"/>
      <c r="E3653" s="34"/>
      <c r="F3653" s="34">
        <f>F3654+F3655</f>
        <v>0</v>
      </c>
    </row>
    <row r="3654" customHeight="1" spans="1:6">
      <c r="A3654" s="7"/>
      <c r="B3654" s="7"/>
      <c r="C3654" s="7"/>
      <c r="D3654" s="34"/>
      <c r="E3654" s="34"/>
      <c r="F3654" s="34"/>
    </row>
    <row r="3655" customHeight="1" spans="1:6">
      <c r="A3655" s="7"/>
      <c r="B3655" s="7"/>
      <c r="C3655" s="7"/>
      <c r="D3655" s="34"/>
      <c r="E3655" s="34"/>
      <c r="F3655" s="34"/>
    </row>
    <row r="3656" customHeight="1" spans="1:6">
      <c r="A3656" s="7" t="s">
        <v>121</v>
      </c>
      <c r="B3656" s="7" t="s">
        <v>849</v>
      </c>
      <c r="C3656" s="231">
        <f>C3580</f>
        <v>0.09</v>
      </c>
      <c r="D3656" s="34"/>
      <c r="E3656" s="34">
        <f>E3652+F3652+F3653</f>
        <v>5919.42855304083</v>
      </c>
      <c r="F3656" s="34">
        <f>E3656*C3656</f>
        <v>532.748569773674</v>
      </c>
    </row>
    <row r="3657" customHeight="1" spans="1:6">
      <c r="A3657" s="7"/>
      <c r="B3657" s="7" t="s">
        <v>850</v>
      </c>
      <c r="C3657" s="231"/>
      <c r="D3657" s="34"/>
      <c r="E3657" s="34"/>
      <c r="F3657" s="34">
        <f>(E3656+F3656)*取费表!H12</f>
        <v>193.565313684435</v>
      </c>
    </row>
    <row r="3658" customHeight="1" spans="1:6">
      <c r="A3658" s="7"/>
      <c r="B3658" s="7" t="s">
        <v>156</v>
      </c>
      <c r="C3658" s="7"/>
      <c r="D3658" s="34"/>
      <c r="E3658" s="34"/>
      <c r="F3658" s="34">
        <f>E3656+F3656+F3657</f>
        <v>6645.74243649894</v>
      </c>
    </row>
    <row r="3659" customHeight="1" spans="1:6">
      <c r="A3659" s="7"/>
      <c r="B3659" s="7"/>
      <c r="C3659" s="7"/>
      <c r="D3659" s="34"/>
      <c r="E3659" s="34"/>
      <c r="F3659" s="34"/>
    </row>
    <row r="3660" customHeight="1" spans="1:6">
      <c r="A3660" s="7"/>
      <c r="B3660" s="7"/>
      <c r="C3660" s="7"/>
      <c r="D3660" s="34"/>
      <c r="E3660" s="34"/>
      <c r="F3660" s="34"/>
    </row>
    <row r="3661" customHeight="1" spans="1:6">
      <c r="A3661" s="7"/>
      <c r="B3661" s="7"/>
      <c r="C3661" s="7"/>
      <c r="D3661" s="34"/>
      <c r="E3661" s="34"/>
      <c r="F3661" s="34"/>
    </row>
    <row r="3662" customHeight="1" spans="1:6">
      <c r="A3662" s="7"/>
      <c r="B3662" s="7"/>
      <c r="C3662" s="7"/>
      <c r="D3662" s="34"/>
      <c r="E3662" s="34"/>
      <c r="F3662" s="34"/>
    </row>
    <row r="3663" customHeight="1" spans="1:6">
      <c r="A3663" s="7"/>
      <c r="B3663" s="7"/>
      <c r="C3663" s="7"/>
      <c r="D3663" s="34"/>
      <c r="E3663" s="34"/>
      <c r="F3663" s="34"/>
    </row>
    <row r="3664" customHeight="1" spans="1:6">
      <c r="A3664" s="7"/>
      <c r="B3664" s="7"/>
      <c r="C3664" s="7"/>
      <c r="D3664" s="34"/>
      <c r="E3664" s="34"/>
      <c r="F3664" s="34"/>
    </row>
    <row r="3665" customHeight="1" spans="1:6">
      <c r="A3665" s="248" t="s">
        <v>881</v>
      </c>
      <c r="B3665" s="225"/>
      <c r="C3665" s="225"/>
      <c r="D3665" s="225"/>
      <c r="E3665" s="225"/>
      <c r="F3665" s="225"/>
    </row>
    <row r="3666" customHeight="1" spans="1:6">
      <c r="A3666" s="278" t="s">
        <v>1216</v>
      </c>
      <c r="B3666" s="272"/>
      <c r="C3666" s="272"/>
      <c r="D3666" s="272"/>
      <c r="E3666" s="272"/>
      <c r="F3666" s="272"/>
    </row>
    <row r="3667" customHeight="1" spans="1:6">
      <c r="A3667" s="228" t="s">
        <v>1217</v>
      </c>
      <c r="B3667" s="228"/>
      <c r="C3667" s="229"/>
      <c r="D3667" s="229"/>
      <c r="E3667" s="228" t="s">
        <v>1181</v>
      </c>
      <c r="F3667" s="228"/>
    </row>
    <row r="3668" customHeight="1" spans="1:6">
      <c r="A3668" s="146" t="s">
        <v>1182</v>
      </c>
      <c r="B3668" s="233"/>
      <c r="C3668" s="233"/>
      <c r="D3668" s="233"/>
      <c r="E3668" s="233"/>
      <c r="F3668" s="147"/>
    </row>
    <row r="3669" customHeight="1" spans="1:6">
      <c r="A3669" s="7" t="s">
        <v>104</v>
      </c>
      <c r="B3669" s="7" t="s">
        <v>835</v>
      </c>
      <c r="C3669" s="7" t="s">
        <v>159</v>
      </c>
      <c r="D3669" s="7" t="s">
        <v>422</v>
      </c>
      <c r="E3669" s="7" t="s">
        <v>160</v>
      </c>
      <c r="F3669" s="7" t="s">
        <v>18</v>
      </c>
    </row>
    <row r="3670" customHeight="1" spans="1:6">
      <c r="A3670" s="7" t="s">
        <v>836</v>
      </c>
      <c r="B3670" s="7" t="s">
        <v>837</v>
      </c>
      <c r="C3670" s="7"/>
      <c r="D3670" s="7"/>
      <c r="E3670" s="7"/>
      <c r="F3670" s="34">
        <f>F3671+F3687+F3688</f>
        <v>8157.10334265119</v>
      </c>
    </row>
    <row r="3671" customHeight="1" spans="1:6">
      <c r="A3671" s="7" t="s">
        <v>539</v>
      </c>
      <c r="B3671" s="7" t="s">
        <v>838</v>
      </c>
      <c r="C3671" s="7"/>
      <c r="D3671" s="7"/>
      <c r="E3671" s="7"/>
      <c r="F3671" s="34">
        <f>F3672+F3675+F3683</f>
        <v>7783.49555596488</v>
      </c>
    </row>
    <row r="3672" customHeight="1" spans="1:6">
      <c r="A3672" s="7">
        <v>1</v>
      </c>
      <c r="B3672" s="7" t="s">
        <v>839</v>
      </c>
      <c r="C3672" s="7" t="s">
        <v>840</v>
      </c>
      <c r="D3672" s="34"/>
      <c r="E3672" s="69">
        <f>SUM(E3673:E3674)</f>
        <v>398.4</v>
      </c>
      <c r="F3672" s="69">
        <f>SUM(F3673:F3674)</f>
        <v>2948.605</v>
      </c>
    </row>
    <row r="3673" customHeight="1" spans="1:6">
      <c r="A3673" s="7"/>
      <c r="B3673" s="7" t="s">
        <v>841</v>
      </c>
      <c r="C3673" s="7" t="s">
        <v>840</v>
      </c>
      <c r="D3673" s="69">
        <f>D3635</f>
        <v>8.1</v>
      </c>
      <c r="E3673" s="69">
        <v>278.9</v>
      </c>
      <c r="F3673" s="69">
        <f>D3673*E3673</f>
        <v>2259.09</v>
      </c>
    </row>
    <row r="3674" customHeight="1" spans="1:6">
      <c r="A3674" s="7"/>
      <c r="B3674" s="7" t="s">
        <v>842</v>
      </c>
      <c r="C3674" s="7" t="s">
        <v>840</v>
      </c>
      <c r="D3674" s="69">
        <f>D3636</f>
        <v>5.77</v>
      </c>
      <c r="E3674" s="69">
        <v>119.5</v>
      </c>
      <c r="F3674" s="69">
        <f>D3674*E3674</f>
        <v>689.515</v>
      </c>
    </row>
    <row r="3675" customHeight="1" spans="1:6">
      <c r="A3675" s="7">
        <v>2</v>
      </c>
      <c r="B3675" s="7" t="s">
        <v>912</v>
      </c>
      <c r="C3675" s="7"/>
      <c r="D3675" s="34"/>
      <c r="E3675" s="34"/>
      <c r="F3675" s="34">
        <f>SUM(F3676:F3682)</f>
        <v>4165.67173985</v>
      </c>
    </row>
    <row r="3676" customHeight="1" spans="1:6">
      <c r="A3676" s="7"/>
      <c r="B3676" s="7" t="s">
        <v>1218</v>
      </c>
      <c r="C3676" s="7" t="s">
        <v>1184</v>
      </c>
      <c r="D3676" s="69"/>
      <c r="E3676" s="9">
        <v>100</v>
      </c>
      <c r="F3676" s="34">
        <f t="shared" ref="F3676:F3681" si="235">D3676*E3676</f>
        <v>0</v>
      </c>
    </row>
    <row r="3677" customHeight="1" spans="1:6">
      <c r="A3677" s="7"/>
      <c r="B3677" s="7" t="s">
        <v>1185</v>
      </c>
      <c r="C3677" s="7" t="s">
        <v>363</v>
      </c>
      <c r="D3677" s="7">
        <v>68.38</v>
      </c>
      <c r="E3677" s="9">
        <v>21</v>
      </c>
      <c r="F3677" s="34">
        <f t="shared" si="235"/>
        <v>1435.98</v>
      </c>
    </row>
    <row r="3678" customHeight="1" spans="1:6">
      <c r="A3678" s="7"/>
      <c r="B3678" s="7" t="s">
        <v>1186</v>
      </c>
      <c r="C3678" s="7" t="s">
        <v>1187</v>
      </c>
      <c r="D3678" s="38">
        <f>D3640</f>
        <v>144.54347</v>
      </c>
      <c r="E3678" s="7">
        <v>1</v>
      </c>
      <c r="F3678" s="34">
        <f t="shared" si="235"/>
        <v>144.54347</v>
      </c>
    </row>
    <row r="3679" customHeight="1" spans="1:6">
      <c r="A3679" s="7"/>
      <c r="B3679" s="7" t="s">
        <v>998</v>
      </c>
      <c r="C3679" s="7" t="s">
        <v>863</v>
      </c>
      <c r="D3679" s="38">
        <f>D3641</f>
        <v>4.5</v>
      </c>
      <c r="E3679" s="9">
        <v>8</v>
      </c>
      <c r="F3679" s="34">
        <f t="shared" si="235"/>
        <v>36</v>
      </c>
    </row>
    <row r="3680" customHeight="1" spans="1:6">
      <c r="A3680" s="7"/>
      <c r="B3680" s="7" t="s">
        <v>1136</v>
      </c>
      <c r="C3680" s="7" t="s">
        <v>863</v>
      </c>
      <c r="D3680" s="38">
        <f>D3642</f>
        <v>7.03</v>
      </c>
      <c r="E3680" s="9">
        <v>27</v>
      </c>
      <c r="F3680" s="34">
        <f t="shared" si="235"/>
        <v>189.81</v>
      </c>
    </row>
    <row r="3681" customHeight="1" spans="1:6">
      <c r="A3681" s="7"/>
      <c r="B3681" s="7" t="s">
        <v>996</v>
      </c>
      <c r="C3681" s="7" t="s">
        <v>1187</v>
      </c>
      <c r="D3681" s="38">
        <f>D3643</f>
        <v>2238.008025</v>
      </c>
      <c r="E3681" s="9">
        <v>1</v>
      </c>
      <c r="F3681" s="34">
        <f t="shared" si="235"/>
        <v>2238.008025</v>
      </c>
    </row>
    <row r="3682" customHeight="1" spans="1:6">
      <c r="A3682" s="7"/>
      <c r="B3682" s="7" t="s">
        <v>952</v>
      </c>
      <c r="C3682" s="9" t="s">
        <v>845</v>
      </c>
      <c r="D3682" s="34">
        <f>SUM(F3676:F3681)</f>
        <v>4044.341495</v>
      </c>
      <c r="E3682" s="9">
        <v>3</v>
      </c>
      <c r="F3682" s="34">
        <f>D3682*E3682/100</f>
        <v>121.33024485</v>
      </c>
    </row>
    <row r="3683" customHeight="1" spans="1:6">
      <c r="A3683" s="7">
        <v>3</v>
      </c>
      <c r="B3683" s="7" t="s">
        <v>859</v>
      </c>
      <c r="C3683" s="7"/>
      <c r="D3683" s="34"/>
      <c r="E3683" s="34"/>
      <c r="F3683" s="34">
        <f>SUM(F3684:F3686)</f>
        <v>669.218816114878</v>
      </c>
    </row>
    <row r="3684" customHeight="1" spans="1:6">
      <c r="A3684" s="7"/>
      <c r="B3684" s="7" t="s">
        <v>1188</v>
      </c>
      <c r="C3684" s="7" t="s">
        <v>428</v>
      </c>
      <c r="D3684" s="34">
        <f>D3646</f>
        <v>13.137592341444</v>
      </c>
      <c r="E3684" s="34">
        <v>30</v>
      </c>
      <c r="F3684" s="34">
        <f>D3684*E3684</f>
        <v>394.127770243319</v>
      </c>
    </row>
    <row r="3685" customHeight="1" spans="1:6">
      <c r="A3685" s="7"/>
      <c r="B3685" s="7" t="s">
        <v>1189</v>
      </c>
      <c r="C3685" s="7" t="s">
        <v>428</v>
      </c>
      <c r="D3685" s="34">
        <f>D3647</f>
        <v>3.89550857598724</v>
      </c>
      <c r="E3685" s="34">
        <v>55</v>
      </c>
      <c r="F3685" s="34">
        <f>D3685*E3685</f>
        <v>214.252971679298</v>
      </c>
    </row>
    <row r="3686" customHeight="1" spans="1:6">
      <c r="A3686" s="7"/>
      <c r="B3686" s="7" t="s">
        <v>918</v>
      </c>
      <c r="C3686" s="9" t="s">
        <v>845</v>
      </c>
      <c r="D3686" s="34">
        <f>SUM(F3684:F3685)</f>
        <v>608.380741922617</v>
      </c>
      <c r="E3686" s="34">
        <v>10</v>
      </c>
      <c r="F3686" s="34">
        <f>D3686*E3686/100</f>
        <v>60.8380741922617</v>
      </c>
    </row>
    <row r="3687" customHeight="1" spans="1:6">
      <c r="A3687" s="7" t="s">
        <v>564</v>
      </c>
      <c r="B3687" s="7" t="s">
        <v>846</v>
      </c>
      <c r="C3687" s="230">
        <f>取费表!$C$12</f>
        <v>0.048</v>
      </c>
      <c r="D3687" s="34"/>
      <c r="E3687" s="34">
        <f>F3671</f>
        <v>7783.49555596488</v>
      </c>
      <c r="F3687" s="34">
        <f>E3687*C3687</f>
        <v>373.607786686314</v>
      </c>
    </row>
    <row r="3688" customHeight="1" spans="1:6">
      <c r="A3688" s="7"/>
      <c r="B3688" s="7"/>
      <c r="C3688" s="230"/>
      <c r="D3688" s="34"/>
      <c r="E3688" s="34"/>
      <c r="F3688" s="34"/>
    </row>
    <row r="3689" customHeight="1" spans="1:6">
      <c r="A3689" s="7" t="s">
        <v>439</v>
      </c>
      <c r="B3689" s="7" t="s">
        <v>847</v>
      </c>
      <c r="C3689" s="230">
        <f>取费表!$E$12</f>
        <v>0.0725</v>
      </c>
      <c r="D3689" s="34"/>
      <c r="E3689" s="34">
        <f>F3670</f>
        <v>8157.10334265119</v>
      </c>
      <c r="F3689" s="34">
        <f>E3689*C3689</f>
        <v>591.389992342211</v>
      </c>
    </row>
    <row r="3690" customHeight="1" spans="1:6">
      <c r="A3690" s="7" t="s">
        <v>83</v>
      </c>
      <c r="B3690" s="7" t="s">
        <v>848</v>
      </c>
      <c r="C3690" s="230">
        <f>取费表!$F$12</f>
        <v>0.05</v>
      </c>
      <c r="D3690" s="34"/>
      <c r="E3690" s="34">
        <f>F3689+F3670</f>
        <v>8748.4933349934</v>
      </c>
      <c r="F3690" s="34">
        <f>E3690*C3690</f>
        <v>437.42466674967</v>
      </c>
    </row>
    <row r="3691" customHeight="1" spans="1:6">
      <c r="A3691" s="7"/>
      <c r="B3691" s="7" t="s">
        <v>1190</v>
      </c>
      <c r="C3691" s="257"/>
      <c r="D3691" s="34"/>
      <c r="E3691" s="34"/>
      <c r="F3691" s="34">
        <f>F3692+F3693</f>
        <v>0</v>
      </c>
    </row>
    <row r="3692" customHeight="1" spans="1:6">
      <c r="A3692" s="7"/>
      <c r="B3692" s="7" t="s">
        <v>1218</v>
      </c>
      <c r="C3692" s="7" t="s">
        <v>1184</v>
      </c>
      <c r="D3692" s="34"/>
      <c r="E3692" s="34">
        <v>100</v>
      </c>
      <c r="F3692" s="34">
        <f>D3692*E3692</f>
        <v>0</v>
      </c>
    </row>
    <row r="3693" customHeight="1" spans="1:6">
      <c r="A3693" s="7"/>
      <c r="B3693" s="7"/>
      <c r="C3693" s="7"/>
      <c r="D3693" s="34"/>
      <c r="E3693" s="34"/>
      <c r="F3693" s="34"/>
    </row>
    <row r="3694" customHeight="1" spans="1:6">
      <c r="A3694" s="7" t="s">
        <v>121</v>
      </c>
      <c r="B3694" s="7" t="s">
        <v>849</v>
      </c>
      <c r="C3694" s="231">
        <f>C3656</f>
        <v>0.09</v>
      </c>
      <c r="D3694" s="34"/>
      <c r="E3694" s="34">
        <f>E3690+F3690+F3691</f>
        <v>9185.91800174307</v>
      </c>
      <c r="F3694" s="34">
        <f>E3694*C3694</f>
        <v>826.732620156877</v>
      </c>
    </row>
    <row r="3695" customHeight="1" spans="1:6">
      <c r="A3695" s="7"/>
      <c r="B3695" s="7" t="s">
        <v>850</v>
      </c>
      <c r="C3695" s="231"/>
      <c r="D3695" s="34"/>
      <c r="E3695" s="34"/>
      <c r="F3695" s="34">
        <f>(E3694+F3694)*取费表!H12</f>
        <v>300.379518656998</v>
      </c>
    </row>
    <row r="3696" customHeight="1" spans="1:6">
      <c r="A3696" s="7"/>
      <c r="B3696" s="7" t="s">
        <v>156</v>
      </c>
      <c r="C3696" s="7"/>
      <c r="D3696" s="34"/>
      <c r="E3696" s="34"/>
      <c r="F3696" s="34">
        <f>E3694+F3694+F3695</f>
        <v>10313.0301405569</v>
      </c>
    </row>
    <row r="3697" customHeight="1" spans="1:6">
      <c r="A3697" s="7"/>
      <c r="B3697" s="7"/>
      <c r="C3697" s="7"/>
      <c r="D3697" s="34"/>
      <c r="E3697" s="34"/>
      <c r="F3697" s="34"/>
    </row>
    <row r="3698" customHeight="1" spans="1:6">
      <c r="A3698" s="7"/>
      <c r="B3698" s="7"/>
      <c r="C3698" s="7"/>
      <c r="D3698" s="34"/>
      <c r="E3698" s="34"/>
      <c r="F3698" s="34"/>
    </row>
    <row r="3699" customHeight="1" spans="1:6">
      <c r="A3699" s="7"/>
      <c r="B3699" s="7"/>
      <c r="C3699" s="7"/>
      <c r="D3699" s="34"/>
      <c r="E3699" s="34"/>
      <c r="F3699" s="34"/>
    </row>
    <row r="3700" customHeight="1" spans="1:6">
      <c r="A3700" s="7"/>
      <c r="B3700" s="7"/>
      <c r="C3700" s="7"/>
      <c r="D3700" s="34"/>
      <c r="E3700" s="34"/>
      <c r="F3700" s="34"/>
    </row>
    <row r="3701" customHeight="1" spans="1:6">
      <c r="A3701" s="7"/>
      <c r="B3701" s="7"/>
      <c r="C3701" s="7"/>
      <c r="D3701" s="34"/>
      <c r="E3701" s="34"/>
      <c r="F3701" s="34"/>
    </row>
    <row r="3702" customHeight="1" spans="1:6">
      <c r="A3702" s="7"/>
      <c r="B3702" s="7"/>
      <c r="C3702" s="7"/>
      <c r="D3702" s="34"/>
      <c r="E3702" s="34"/>
      <c r="F3702" s="34"/>
    </row>
    <row r="3703" customHeight="1" spans="1:12">
      <c r="A3703" s="248" t="s">
        <v>881</v>
      </c>
      <c r="B3703" s="225"/>
      <c r="C3703" s="225"/>
      <c r="D3703" s="225"/>
      <c r="E3703" s="225"/>
      <c r="F3703" s="225"/>
      <c r="G3703" s="248" t="s">
        <v>881</v>
      </c>
      <c r="H3703" s="225"/>
      <c r="I3703" s="225"/>
      <c r="J3703" s="225"/>
      <c r="K3703" s="225"/>
      <c r="L3703" s="225"/>
    </row>
    <row r="3704" customHeight="1" spans="1:12">
      <c r="A3704" s="278" t="s">
        <v>1219</v>
      </c>
      <c r="B3704" s="272"/>
      <c r="C3704" s="272"/>
      <c r="D3704" s="272"/>
      <c r="E3704" s="272"/>
      <c r="F3704" s="272"/>
      <c r="G3704" s="278" t="s">
        <v>1219</v>
      </c>
      <c r="H3704" s="272"/>
      <c r="I3704" s="272"/>
      <c r="J3704" s="272"/>
      <c r="K3704" s="272"/>
      <c r="L3704" s="272"/>
    </row>
    <row r="3705" customHeight="1" spans="1:12">
      <c r="A3705" s="227" t="s">
        <v>1220</v>
      </c>
      <c r="B3705" s="228"/>
      <c r="C3705" s="272"/>
      <c r="D3705" s="272"/>
      <c r="E3705" s="228" t="s">
        <v>1221</v>
      </c>
      <c r="F3705" s="228"/>
      <c r="G3705" s="227" t="s">
        <v>1220</v>
      </c>
      <c r="H3705" s="228"/>
      <c r="I3705" s="272"/>
      <c r="J3705" s="272"/>
      <c r="K3705" s="228" t="s">
        <v>1221</v>
      </c>
      <c r="L3705" s="228"/>
    </row>
    <row r="3706" customHeight="1" spans="1:12">
      <c r="A3706" s="232" t="s">
        <v>1222</v>
      </c>
      <c r="B3706" s="233"/>
      <c r="C3706" s="234"/>
      <c r="D3706" s="234"/>
      <c r="E3706" s="234"/>
      <c r="F3706" s="235"/>
      <c r="G3706" s="232" t="s">
        <v>1223</v>
      </c>
      <c r="H3706" s="233"/>
      <c r="I3706" s="234"/>
      <c r="J3706" s="234"/>
      <c r="K3706" s="234"/>
      <c r="L3706" s="235"/>
    </row>
    <row r="3707" customHeight="1" spans="1:12">
      <c r="A3707" s="7" t="s">
        <v>104</v>
      </c>
      <c r="B3707" s="7" t="s">
        <v>835</v>
      </c>
      <c r="C3707" s="7" t="s">
        <v>159</v>
      </c>
      <c r="D3707" s="7" t="s">
        <v>422</v>
      </c>
      <c r="E3707" s="7" t="s">
        <v>160</v>
      </c>
      <c r="F3707" s="7" t="s">
        <v>18</v>
      </c>
      <c r="G3707" s="7" t="s">
        <v>104</v>
      </c>
      <c r="H3707" s="7" t="s">
        <v>835</v>
      </c>
      <c r="I3707" s="7" t="s">
        <v>159</v>
      </c>
      <c r="J3707" s="7" t="s">
        <v>422</v>
      </c>
      <c r="K3707" s="7" t="s">
        <v>160</v>
      </c>
      <c r="L3707" s="7" t="s">
        <v>18</v>
      </c>
    </row>
    <row r="3708" customHeight="1" spans="1:12">
      <c r="A3708" s="7" t="s">
        <v>836</v>
      </c>
      <c r="B3708" s="7" t="s">
        <v>837</v>
      </c>
      <c r="C3708" s="7"/>
      <c r="D3708" s="7"/>
      <c r="E3708" s="7"/>
      <c r="F3708" s="34">
        <f>F3709+F3720+F3721</f>
        <v>17092.3402107787</v>
      </c>
      <c r="G3708" s="7" t="s">
        <v>836</v>
      </c>
      <c r="H3708" s="7" t="s">
        <v>837</v>
      </c>
      <c r="I3708" s="7"/>
      <c r="J3708" s="7"/>
      <c r="K3708" s="7"/>
      <c r="L3708" s="34">
        <f>L3709+L3720+L3721</f>
        <v>11309.8383624165</v>
      </c>
    </row>
    <row r="3709" customHeight="1" spans="1:12">
      <c r="A3709" s="7" t="s">
        <v>539</v>
      </c>
      <c r="B3709" s="7" t="s">
        <v>838</v>
      </c>
      <c r="C3709" s="7"/>
      <c r="D3709" s="7"/>
      <c r="E3709" s="7"/>
      <c r="F3709" s="34">
        <f>F3710+F3713+F3717</f>
        <v>16309.4849339492</v>
      </c>
      <c r="G3709" s="7" t="s">
        <v>539</v>
      </c>
      <c r="H3709" s="7" t="s">
        <v>838</v>
      </c>
      <c r="I3709" s="7"/>
      <c r="J3709" s="7"/>
      <c r="K3709" s="7"/>
      <c r="L3709" s="34">
        <f>L3710+L3713+L3717</f>
        <v>10791.8304984891</v>
      </c>
    </row>
    <row r="3710" customHeight="1" spans="1:12">
      <c r="A3710" s="7">
        <v>1</v>
      </c>
      <c r="B3710" s="7" t="s">
        <v>839</v>
      </c>
      <c r="C3710" s="7" t="s">
        <v>840</v>
      </c>
      <c r="D3710" s="297"/>
      <c r="E3710" s="69">
        <f>SUM(E3711:E3712)</f>
        <v>239.8</v>
      </c>
      <c r="F3710" s="69">
        <f>SUM(F3711:F3712)</f>
        <v>1606.86</v>
      </c>
      <c r="G3710" s="7">
        <v>1</v>
      </c>
      <c r="H3710" s="7" t="s">
        <v>839</v>
      </c>
      <c r="I3710" s="7" t="s">
        <v>840</v>
      </c>
      <c r="J3710" s="297"/>
      <c r="K3710" s="69">
        <f>SUM(K3711:K3712)</f>
        <v>136.3</v>
      </c>
      <c r="L3710" s="69">
        <f>SUM(L3711:L3712)</f>
        <v>912.97</v>
      </c>
    </row>
    <row r="3711" customHeight="1" spans="1:12">
      <c r="A3711" s="7"/>
      <c r="B3711" s="7" t="s">
        <v>841</v>
      </c>
      <c r="C3711" s="7" t="s">
        <v>840</v>
      </c>
      <c r="D3711" s="69">
        <f>D3673</f>
        <v>8.1</v>
      </c>
      <c r="E3711" s="254">
        <f>137.3-8.3*5</f>
        <v>95.8</v>
      </c>
      <c r="F3711" s="69">
        <f>D3711*E3711</f>
        <v>775.98</v>
      </c>
      <c r="G3711" s="7"/>
      <c r="H3711" s="7" t="s">
        <v>841</v>
      </c>
      <c r="I3711" s="7" t="s">
        <v>840</v>
      </c>
      <c r="J3711" s="69">
        <f>D3711</f>
        <v>8.1</v>
      </c>
      <c r="K3711" s="254">
        <f>137.3-8.3*10</f>
        <v>54.3</v>
      </c>
      <c r="L3711" s="69">
        <f>J3711*K3711</f>
        <v>439.83</v>
      </c>
    </row>
    <row r="3712" customHeight="1" spans="1:12">
      <c r="A3712" s="7"/>
      <c r="B3712" s="7" t="s">
        <v>842</v>
      </c>
      <c r="C3712" s="7" t="s">
        <v>840</v>
      </c>
      <c r="D3712" s="69">
        <f>D3674</f>
        <v>5.77</v>
      </c>
      <c r="E3712" s="254">
        <f>206-12.4*5</f>
        <v>144</v>
      </c>
      <c r="F3712" s="69">
        <f>D3712*E3712</f>
        <v>830.88</v>
      </c>
      <c r="G3712" s="7"/>
      <c r="H3712" s="7" t="s">
        <v>842</v>
      </c>
      <c r="I3712" s="7" t="s">
        <v>840</v>
      </c>
      <c r="J3712" s="69">
        <f>D3712</f>
        <v>5.77</v>
      </c>
      <c r="K3712" s="254">
        <f>206-12.4*10</f>
        <v>82</v>
      </c>
      <c r="L3712" s="69">
        <f>J3712*K3712</f>
        <v>473.14</v>
      </c>
    </row>
    <row r="3713" customHeight="1" spans="1:12">
      <c r="A3713" s="7">
        <v>2</v>
      </c>
      <c r="B3713" s="7" t="s">
        <v>912</v>
      </c>
      <c r="C3713" s="7"/>
      <c r="D3713" s="34"/>
      <c r="E3713" s="34"/>
      <c r="F3713" s="34">
        <f>SUM(F3714:F3716)</f>
        <v>14325.4960621143</v>
      </c>
      <c r="G3713" s="7">
        <v>2</v>
      </c>
      <c r="H3713" s="7" t="s">
        <v>912</v>
      </c>
      <c r="I3713" s="7"/>
      <c r="J3713" s="34"/>
      <c r="K3713" s="34"/>
      <c r="L3713" s="34">
        <f>SUM(L3714:L3716)</f>
        <v>9550.33070807621</v>
      </c>
    </row>
    <row r="3714" customHeight="1" spans="1:12">
      <c r="A3714" s="7"/>
      <c r="B3714" s="7" t="s">
        <v>374</v>
      </c>
      <c r="C3714" s="7" t="s">
        <v>169</v>
      </c>
      <c r="D3714" s="34">
        <f>材料预算价!K14</f>
        <v>66.2217186407767</v>
      </c>
      <c r="E3714" s="34">
        <f>99-4.95*5</f>
        <v>74.25</v>
      </c>
      <c r="F3714" s="34">
        <f>D3714*E3714</f>
        <v>4916.96260907767</v>
      </c>
      <c r="G3714" s="7"/>
      <c r="H3714" s="7" t="s">
        <v>374</v>
      </c>
      <c r="I3714" s="7" t="s">
        <v>169</v>
      </c>
      <c r="J3714" s="34">
        <f>D3714</f>
        <v>66.2217186407767</v>
      </c>
      <c r="K3714" s="34">
        <f>99-4.95*10</f>
        <v>49.5</v>
      </c>
      <c r="L3714" s="34">
        <f>J3714*K3714</f>
        <v>3277.97507271845</v>
      </c>
    </row>
    <row r="3715" customHeight="1" spans="1:12">
      <c r="A3715" s="7"/>
      <c r="B3715" s="7" t="s">
        <v>374</v>
      </c>
      <c r="C3715" s="7" t="s">
        <v>169</v>
      </c>
      <c r="D3715" s="34">
        <f>D3714</f>
        <v>66.2217186407767</v>
      </c>
      <c r="E3715" s="34">
        <f>188-9.4*5</f>
        <v>141</v>
      </c>
      <c r="F3715" s="34">
        <f>D3715*E3715</f>
        <v>9337.26232834951</v>
      </c>
      <c r="G3715" s="7"/>
      <c r="H3715" s="7" t="s">
        <v>374</v>
      </c>
      <c r="I3715" s="7" t="s">
        <v>169</v>
      </c>
      <c r="J3715" s="34">
        <f>D3715</f>
        <v>66.2217186407767</v>
      </c>
      <c r="K3715" s="34">
        <f>188-9.4*10</f>
        <v>94</v>
      </c>
      <c r="L3715" s="34">
        <f>J3715*K3715</f>
        <v>6224.84155223301</v>
      </c>
    </row>
    <row r="3716" customHeight="1" spans="1:12">
      <c r="A3716" s="7"/>
      <c r="B3716" s="7" t="s">
        <v>1004</v>
      </c>
      <c r="C3716" s="9" t="s">
        <v>845</v>
      </c>
      <c r="D3716" s="34">
        <f>F3714+F3715</f>
        <v>14254.2249374272</v>
      </c>
      <c r="E3716" s="34">
        <v>0.5</v>
      </c>
      <c r="F3716" s="34">
        <f>D3716*E3716/100</f>
        <v>71.2711246871359</v>
      </c>
      <c r="G3716" s="7"/>
      <c r="H3716" s="7" t="s">
        <v>1004</v>
      </c>
      <c r="I3716" s="9" t="s">
        <v>845</v>
      </c>
      <c r="J3716" s="34">
        <f>L3714+L3715</f>
        <v>9502.81662495145</v>
      </c>
      <c r="K3716" s="34">
        <v>0.5</v>
      </c>
      <c r="L3716" s="34">
        <f>J3716*K3716/100</f>
        <v>47.5140831247573</v>
      </c>
    </row>
    <row r="3717" customHeight="1" spans="1:12">
      <c r="A3717" s="7">
        <v>3</v>
      </c>
      <c r="B3717" s="7" t="s">
        <v>859</v>
      </c>
      <c r="C3717" s="7"/>
      <c r="D3717" s="34"/>
      <c r="E3717" s="34"/>
      <c r="F3717" s="34">
        <f>SUM(F3718:F3719)</f>
        <v>377.128871834862</v>
      </c>
      <c r="G3717" s="7">
        <v>3</v>
      </c>
      <c r="H3717" s="7" t="s">
        <v>859</v>
      </c>
      <c r="I3717" s="7"/>
      <c r="J3717" s="34"/>
      <c r="K3717" s="34"/>
      <c r="L3717" s="34">
        <f>SUM(L3718:L3719)</f>
        <v>328.529790412844</v>
      </c>
    </row>
    <row r="3718" customHeight="1" spans="1:12">
      <c r="A3718" s="7"/>
      <c r="B3718" s="7" t="s">
        <v>1224</v>
      </c>
      <c r="C3718" s="7" t="s">
        <v>428</v>
      </c>
      <c r="D3718" s="34">
        <f>台时!D105</f>
        <v>63.5282110091743</v>
      </c>
      <c r="E3718" s="34">
        <f>6.57-0.15*5</f>
        <v>5.82</v>
      </c>
      <c r="F3718" s="34">
        <f>D3718*E3718</f>
        <v>369.734188073395</v>
      </c>
      <c r="G3718" s="7"/>
      <c r="H3718" s="7" t="s">
        <v>1224</v>
      </c>
      <c r="I3718" s="7" t="s">
        <v>428</v>
      </c>
      <c r="J3718" s="34">
        <f>D3718</f>
        <v>63.5282110091743</v>
      </c>
      <c r="K3718" s="34">
        <f>6.57-0.15*10</f>
        <v>5.07</v>
      </c>
      <c r="L3718" s="34">
        <f>J3718*K3718</f>
        <v>322.088029816514</v>
      </c>
    </row>
    <row r="3719" customHeight="1" spans="1:12">
      <c r="A3719" s="7"/>
      <c r="B3719" s="7" t="s">
        <v>918</v>
      </c>
      <c r="C3719" s="9" t="s">
        <v>845</v>
      </c>
      <c r="D3719" s="34">
        <f>F3718</f>
        <v>369.734188073395</v>
      </c>
      <c r="E3719" s="34">
        <v>2</v>
      </c>
      <c r="F3719" s="34">
        <f>D3719*E3719/100</f>
        <v>7.39468376146789</v>
      </c>
      <c r="G3719" s="7"/>
      <c r="H3719" s="7" t="s">
        <v>918</v>
      </c>
      <c r="I3719" s="9" t="s">
        <v>845</v>
      </c>
      <c r="J3719" s="34">
        <f>L3718</f>
        <v>322.088029816514</v>
      </c>
      <c r="K3719" s="34">
        <v>2</v>
      </c>
      <c r="L3719" s="34">
        <f>J3719*K3719/100</f>
        <v>6.44176059633028</v>
      </c>
    </row>
    <row r="3720" customHeight="1" spans="1:12">
      <c r="A3720" s="8" t="s">
        <v>564</v>
      </c>
      <c r="B3720" s="7" t="s">
        <v>846</v>
      </c>
      <c r="C3720" s="230">
        <f>取费表!$C$12</f>
        <v>0.048</v>
      </c>
      <c r="D3720" s="34"/>
      <c r="E3720" s="34">
        <f>F3709</f>
        <v>16309.4849339492</v>
      </c>
      <c r="F3720" s="34">
        <f>E3720*C3720</f>
        <v>782.85527682956</v>
      </c>
      <c r="G3720" s="8" t="s">
        <v>564</v>
      </c>
      <c r="H3720" s="7" t="s">
        <v>846</v>
      </c>
      <c r="I3720" s="230">
        <f>取费表!$C$12</f>
        <v>0.048</v>
      </c>
      <c r="J3720" s="34"/>
      <c r="K3720" s="34">
        <f>L3709</f>
        <v>10791.8304984891</v>
      </c>
      <c r="L3720" s="34">
        <f>K3720*I3720</f>
        <v>518.007863927475</v>
      </c>
    </row>
    <row r="3721" customHeight="1" spans="1:12">
      <c r="A3721" s="8"/>
      <c r="B3721" s="7"/>
      <c r="C3721" s="230"/>
      <c r="D3721" s="34"/>
      <c r="E3721" s="34"/>
      <c r="F3721" s="34"/>
      <c r="G3721" s="8"/>
      <c r="H3721" s="7"/>
      <c r="I3721" s="230"/>
      <c r="J3721" s="34"/>
      <c r="K3721" s="34"/>
      <c r="L3721" s="34"/>
    </row>
    <row r="3722" customHeight="1" spans="1:12">
      <c r="A3722" s="8" t="s">
        <v>439</v>
      </c>
      <c r="B3722" s="7" t="s">
        <v>847</v>
      </c>
      <c r="C3722" s="230">
        <f>取费表!$E$12</f>
        <v>0.0725</v>
      </c>
      <c r="D3722" s="34"/>
      <c r="E3722" s="34">
        <f>F3708</f>
        <v>17092.3402107787</v>
      </c>
      <c r="F3722" s="34">
        <f>E3722*C3722</f>
        <v>1239.19466528146</v>
      </c>
      <c r="G3722" s="8" t="s">
        <v>439</v>
      </c>
      <c r="H3722" s="7" t="s">
        <v>847</v>
      </c>
      <c r="I3722" s="230">
        <f>取费表!$E$12</f>
        <v>0.0725</v>
      </c>
      <c r="J3722" s="34"/>
      <c r="K3722" s="34">
        <f>L3708</f>
        <v>11309.8383624165</v>
      </c>
      <c r="L3722" s="34">
        <f>K3722*I3722</f>
        <v>819.963281275198</v>
      </c>
    </row>
    <row r="3723" customHeight="1" spans="1:12">
      <c r="A3723" s="8" t="s">
        <v>83</v>
      </c>
      <c r="B3723" s="7" t="s">
        <v>848</v>
      </c>
      <c r="C3723" s="230">
        <f>取费表!$F$12</f>
        <v>0.05</v>
      </c>
      <c r="D3723" s="34"/>
      <c r="E3723" s="34">
        <f>F3722+F3708</f>
        <v>18331.5348760602</v>
      </c>
      <c r="F3723" s="34">
        <f>E3723*C3723</f>
        <v>916.576743803009</v>
      </c>
      <c r="G3723" s="8" t="s">
        <v>83</v>
      </c>
      <c r="H3723" s="7" t="s">
        <v>848</v>
      </c>
      <c r="I3723" s="230">
        <f>取费表!$F$12</f>
        <v>0.05</v>
      </c>
      <c r="J3723" s="34"/>
      <c r="K3723" s="34">
        <f>L3722+L3708</f>
        <v>12129.8016436917</v>
      </c>
      <c r="L3723" s="34">
        <f>K3723*I3723</f>
        <v>606.490082184586</v>
      </c>
    </row>
    <row r="3724" customHeight="1" spans="1:12">
      <c r="A3724" s="5" t="s">
        <v>121</v>
      </c>
      <c r="B3724" s="5" t="s">
        <v>861</v>
      </c>
      <c r="C3724" s="275"/>
      <c r="D3724" s="276"/>
      <c r="E3724" s="5"/>
      <c r="F3724" s="277">
        <f>F3725</f>
        <v>173.2614</v>
      </c>
      <c r="G3724" s="5" t="s">
        <v>121</v>
      </c>
      <c r="H3724" s="5" t="s">
        <v>861</v>
      </c>
      <c r="I3724" s="275"/>
      <c r="J3724" s="276"/>
      <c r="K3724" s="5"/>
      <c r="L3724" s="277">
        <f>L3725</f>
        <v>150.9339</v>
      </c>
    </row>
    <row r="3725" customHeight="1" spans="1:12">
      <c r="A3725" s="7">
        <v>2</v>
      </c>
      <c r="B3725" s="7" t="s">
        <v>1013</v>
      </c>
      <c r="C3725" s="7"/>
      <c r="D3725" s="34"/>
      <c r="E3725" s="38"/>
      <c r="F3725" s="69">
        <f>SUM(F3726:F3728)</f>
        <v>173.2614</v>
      </c>
      <c r="G3725" s="7">
        <v>2</v>
      </c>
      <c r="H3725" s="7" t="s">
        <v>1013</v>
      </c>
      <c r="I3725" s="7"/>
      <c r="J3725" s="34"/>
      <c r="K3725" s="38"/>
      <c r="L3725" s="69">
        <f>SUM(L3726:L3728)</f>
        <v>150.9339</v>
      </c>
    </row>
    <row r="3726" customHeight="1" spans="1:12">
      <c r="A3726" s="7"/>
      <c r="B3726" s="7" t="s">
        <v>374</v>
      </c>
      <c r="C3726" s="7" t="s">
        <v>169</v>
      </c>
      <c r="D3726" s="34"/>
      <c r="E3726" s="38">
        <f>E3714+E3715</f>
        <v>215.25</v>
      </c>
      <c r="F3726" s="69">
        <f>D3726*E3726</f>
        <v>0</v>
      </c>
      <c r="G3726" s="7"/>
      <c r="H3726" s="7" t="s">
        <v>374</v>
      </c>
      <c r="I3726" s="7" t="s">
        <v>169</v>
      </c>
      <c r="J3726" s="34"/>
      <c r="K3726" s="38">
        <f>K3714+K3715</f>
        <v>143.5</v>
      </c>
      <c r="L3726" s="69">
        <f>J3726*K3726</f>
        <v>0</v>
      </c>
    </row>
    <row r="3727" customHeight="1" spans="1:12">
      <c r="A3727" s="7"/>
      <c r="B3727" s="7" t="s">
        <v>1014</v>
      </c>
      <c r="C3727" s="7" t="s">
        <v>863</v>
      </c>
      <c r="D3727" s="34">
        <f>材料预算价!K12-材料预算价!L12</f>
        <v>5.925</v>
      </c>
      <c r="E3727" s="38">
        <v>0</v>
      </c>
      <c r="F3727" s="69">
        <f>D3727*E3727</f>
        <v>0</v>
      </c>
      <c r="G3727" s="7"/>
      <c r="H3727" s="7" t="s">
        <v>1014</v>
      </c>
      <c r="I3727" s="7" t="s">
        <v>863</v>
      </c>
      <c r="J3727" s="34">
        <f>D3727</f>
        <v>5.925</v>
      </c>
      <c r="K3727" s="38">
        <v>0</v>
      </c>
      <c r="L3727" s="69">
        <f>J3727*K3727</f>
        <v>0</v>
      </c>
    </row>
    <row r="3728" customHeight="1" spans="1:12">
      <c r="A3728" s="7"/>
      <c r="B3728" s="7" t="s">
        <v>862</v>
      </c>
      <c r="C3728" s="9" t="s">
        <v>863</v>
      </c>
      <c r="D3728" s="34">
        <f>材料预算价!K11-材料预算价!L11</f>
        <v>4.58</v>
      </c>
      <c r="E3728" s="38">
        <f>(E3718*6.5)</f>
        <v>37.83</v>
      </c>
      <c r="F3728" s="69">
        <f>D3728*E3728</f>
        <v>173.2614</v>
      </c>
      <c r="G3728" s="7"/>
      <c r="H3728" s="7" t="s">
        <v>862</v>
      </c>
      <c r="I3728" s="9" t="s">
        <v>863</v>
      </c>
      <c r="J3728" s="34">
        <f>D3728</f>
        <v>4.58</v>
      </c>
      <c r="K3728" s="38">
        <f>(K3718*6.5)</f>
        <v>32.955</v>
      </c>
      <c r="L3728" s="69">
        <f>J3728*K3728</f>
        <v>150.9339</v>
      </c>
    </row>
    <row r="3729" customHeight="1" spans="1:12">
      <c r="A3729" s="7" t="s">
        <v>135</v>
      </c>
      <c r="B3729" s="7" t="s">
        <v>849</v>
      </c>
      <c r="C3729" s="231">
        <f>C3694</f>
        <v>0.09</v>
      </c>
      <c r="D3729" s="283"/>
      <c r="E3729" s="34">
        <f>F3724+F3723+F3722+F3708</f>
        <v>19421.3730198632</v>
      </c>
      <c r="F3729" s="34">
        <f>E3729*C3729</f>
        <v>1747.92357178768</v>
      </c>
      <c r="G3729" s="7" t="s">
        <v>135</v>
      </c>
      <c r="H3729" s="7" t="s">
        <v>849</v>
      </c>
      <c r="I3729" s="231">
        <f>C3729</f>
        <v>0.09</v>
      </c>
      <c r="J3729" s="283"/>
      <c r="K3729" s="34">
        <f>L3724+L3723+L3722+L3708</f>
        <v>12887.2256258763</v>
      </c>
      <c r="L3729" s="34">
        <f>K3729*I3729</f>
        <v>1159.85030632887</v>
      </c>
    </row>
    <row r="3730" customHeight="1" spans="1:12">
      <c r="A3730" s="7"/>
      <c r="B3730" s="7" t="s">
        <v>850</v>
      </c>
      <c r="C3730" s="231"/>
      <c r="D3730" s="283"/>
      <c r="E3730" s="34"/>
      <c r="F3730" s="34">
        <f>(F3708+F3722+F3723+F3724+F3729)*取费表!H4</f>
        <v>635.078897749525</v>
      </c>
      <c r="G3730" s="7"/>
      <c r="H3730" s="7" t="s">
        <v>850</v>
      </c>
      <c r="I3730" s="231"/>
      <c r="J3730" s="283"/>
      <c r="K3730" s="34"/>
      <c r="L3730" s="34">
        <f>(L3708+L3722+L3723+L3724+L3729)*取费表!H12</f>
        <v>421.412277966155</v>
      </c>
    </row>
    <row r="3731" customHeight="1" spans="1:12">
      <c r="A3731" s="7"/>
      <c r="B3731" s="7" t="s">
        <v>156</v>
      </c>
      <c r="C3731" s="8"/>
      <c r="D3731" s="283"/>
      <c r="E3731" s="283"/>
      <c r="F3731" s="34">
        <f>F3729+E3729+F3730</f>
        <v>21804.3754894004</v>
      </c>
      <c r="G3731" s="7"/>
      <c r="H3731" s="7" t="s">
        <v>156</v>
      </c>
      <c r="I3731" s="8"/>
      <c r="J3731" s="283"/>
      <c r="K3731" s="283"/>
      <c r="L3731" s="34">
        <f>L3729+K3729+L3730</f>
        <v>14468.4882101713</v>
      </c>
    </row>
    <row r="3732" customHeight="1" spans="1:12">
      <c r="A3732" s="7"/>
      <c r="B3732" s="7"/>
      <c r="C3732" s="8"/>
      <c r="D3732" s="283"/>
      <c r="E3732" s="283"/>
      <c r="F3732" s="34"/>
      <c r="G3732" s="7"/>
      <c r="H3732" s="7"/>
      <c r="I3732" s="8"/>
      <c r="J3732" s="283"/>
      <c r="K3732" s="283"/>
      <c r="L3732" s="34"/>
    </row>
    <row r="3733" customHeight="1" spans="1:12">
      <c r="A3733" s="7"/>
      <c r="B3733" s="7"/>
      <c r="C3733" s="8"/>
      <c r="D3733" s="283"/>
      <c r="E3733" s="283"/>
      <c r="F3733" s="34"/>
      <c r="G3733" s="7"/>
      <c r="H3733" s="7"/>
      <c r="I3733" s="8"/>
      <c r="J3733" s="283"/>
      <c r="K3733" s="283"/>
      <c r="L3733" s="34"/>
    </row>
    <row r="3734" customHeight="1" spans="1:12">
      <c r="A3734" s="7"/>
      <c r="B3734" s="7"/>
      <c r="C3734" s="8"/>
      <c r="D3734" s="283"/>
      <c r="E3734" s="283"/>
      <c r="F3734" s="34"/>
      <c r="G3734" s="7"/>
      <c r="H3734" s="7"/>
      <c r="I3734" s="8"/>
      <c r="J3734" s="283"/>
      <c r="K3734" s="283"/>
      <c r="L3734" s="34"/>
    </row>
    <row r="3735" customHeight="1" spans="1:12">
      <c r="A3735" s="7"/>
      <c r="B3735" s="7"/>
      <c r="C3735" s="8"/>
      <c r="D3735" s="283"/>
      <c r="E3735" s="283"/>
      <c r="F3735" s="34"/>
      <c r="G3735" s="7"/>
      <c r="H3735" s="7"/>
      <c r="I3735" s="8"/>
      <c r="J3735" s="283"/>
      <c r="K3735" s="283"/>
      <c r="L3735" s="34"/>
    </row>
    <row r="3736" customHeight="1" spans="1:12">
      <c r="A3736" s="7"/>
      <c r="B3736" s="7"/>
      <c r="C3736" s="8"/>
      <c r="D3736" s="283"/>
      <c r="E3736" s="283"/>
      <c r="F3736" s="34"/>
      <c r="G3736" s="7"/>
      <c r="H3736" s="7"/>
      <c r="I3736" s="8"/>
      <c r="J3736" s="283"/>
      <c r="K3736" s="283"/>
      <c r="L3736" s="34"/>
    </row>
    <row r="3737" customHeight="1" spans="1:12">
      <c r="A3737" s="7"/>
      <c r="B3737" s="7"/>
      <c r="C3737" s="8"/>
      <c r="D3737" s="283"/>
      <c r="E3737" s="283"/>
      <c r="F3737" s="34"/>
      <c r="G3737" s="7"/>
      <c r="H3737" s="7"/>
      <c r="I3737" s="8"/>
      <c r="J3737" s="283"/>
      <c r="K3737" s="283"/>
      <c r="L3737" s="34"/>
    </row>
    <row r="3738" customHeight="1" spans="1:12">
      <c r="A3738" s="7"/>
      <c r="B3738" s="7"/>
      <c r="C3738" s="8"/>
      <c r="D3738" s="283"/>
      <c r="E3738" s="283"/>
      <c r="F3738" s="34"/>
      <c r="G3738" s="7"/>
      <c r="H3738" s="7"/>
      <c r="I3738" s="8"/>
      <c r="J3738" s="283"/>
      <c r="K3738" s="283"/>
      <c r="L3738" s="34"/>
    </row>
    <row r="3739" customHeight="1" spans="1:12">
      <c r="A3739" s="7"/>
      <c r="B3739" s="7"/>
      <c r="C3739" s="8"/>
      <c r="D3739" s="283"/>
      <c r="E3739" s="283"/>
      <c r="F3739" s="34"/>
      <c r="G3739" s="7"/>
      <c r="H3739" s="7"/>
      <c r="I3739" s="8"/>
      <c r="J3739" s="283"/>
      <c r="K3739" s="283"/>
      <c r="L3739" s="34"/>
    </row>
    <row r="3740" customHeight="1" spans="1:12">
      <c r="A3740" s="7"/>
      <c r="B3740" s="7"/>
      <c r="C3740" s="8"/>
      <c r="D3740" s="283"/>
      <c r="E3740" s="283"/>
      <c r="F3740" s="34"/>
      <c r="G3740" s="7"/>
      <c r="H3740" s="7"/>
      <c r="I3740" s="8"/>
      <c r="J3740" s="283"/>
      <c r="K3740" s="283"/>
      <c r="L3740" s="34"/>
    </row>
    <row r="3741" customHeight="1" spans="1:12">
      <c r="A3741" s="248" t="s">
        <v>881</v>
      </c>
      <c r="B3741" s="225"/>
      <c r="C3741" s="225"/>
      <c r="D3741" s="225"/>
      <c r="E3741" s="225"/>
      <c r="F3741" s="225"/>
      <c r="G3741" s="96"/>
      <c r="H3741" s="96"/>
      <c r="I3741" s="320"/>
      <c r="J3741" s="321"/>
      <c r="K3741" s="321"/>
      <c r="L3741" s="302"/>
    </row>
    <row r="3742" customHeight="1" spans="1:12">
      <c r="A3742" s="278" t="s">
        <v>1219</v>
      </c>
      <c r="B3742" s="272"/>
      <c r="C3742" s="272"/>
      <c r="D3742" s="272"/>
      <c r="E3742" s="272"/>
      <c r="F3742" s="272"/>
      <c r="G3742" s="96"/>
      <c r="H3742" s="96"/>
      <c r="I3742" s="320"/>
      <c r="J3742" s="321"/>
      <c r="K3742" s="321"/>
      <c r="L3742" s="302"/>
    </row>
    <row r="3743" customHeight="1" spans="1:12">
      <c r="A3743" s="227" t="s">
        <v>1220</v>
      </c>
      <c r="B3743" s="228"/>
      <c r="C3743" s="272"/>
      <c r="D3743" s="272"/>
      <c r="E3743" s="228" t="s">
        <v>1221</v>
      </c>
      <c r="F3743" s="228"/>
      <c r="G3743" s="96"/>
      <c r="H3743" s="96"/>
      <c r="I3743" s="320"/>
      <c r="J3743" s="321"/>
      <c r="K3743" s="321"/>
      <c r="L3743" s="302"/>
    </row>
    <row r="3744" customHeight="1" spans="1:12">
      <c r="A3744" s="232" t="s">
        <v>1225</v>
      </c>
      <c r="B3744" s="233"/>
      <c r="C3744" s="234"/>
      <c r="D3744" s="234"/>
      <c r="E3744" s="234"/>
      <c r="F3744" s="235"/>
      <c r="G3744" s="96"/>
      <c r="H3744" s="96"/>
      <c r="I3744" s="320"/>
      <c r="J3744" s="321"/>
      <c r="K3744" s="321"/>
      <c r="L3744" s="302"/>
    </row>
    <row r="3745" customHeight="1" spans="1:12">
      <c r="A3745" s="7" t="s">
        <v>104</v>
      </c>
      <c r="B3745" s="7" t="s">
        <v>835</v>
      </c>
      <c r="C3745" s="7" t="s">
        <v>159</v>
      </c>
      <c r="D3745" s="7" t="s">
        <v>422</v>
      </c>
      <c r="E3745" s="7" t="s">
        <v>160</v>
      </c>
      <c r="F3745" s="7" t="s">
        <v>18</v>
      </c>
      <c r="G3745" s="96"/>
      <c r="H3745" s="96"/>
      <c r="I3745" s="320"/>
      <c r="J3745" s="321"/>
      <c r="K3745" s="321"/>
      <c r="L3745" s="302"/>
    </row>
    <row r="3746" customHeight="1" spans="1:12">
      <c r="A3746" s="7" t="s">
        <v>836</v>
      </c>
      <c r="B3746" s="7" t="s">
        <v>837</v>
      </c>
      <c r="C3746" s="7"/>
      <c r="D3746" s="7"/>
      <c r="E3746" s="7"/>
      <c r="F3746" s="34">
        <f>F3747+F3759+F3760</f>
        <v>22874.8420591409</v>
      </c>
      <c r="G3746" s="96"/>
      <c r="H3746" s="96"/>
      <c r="I3746" s="320"/>
      <c r="J3746" s="321"/>
      <c r="K3746" s="321"/>
      <c r="L3746" s="302"/>
    </row>
    <row r="3747" customHeight="1" spans="1:12">
      <c r="A3747" s="7" t="s">
        <v>539</v>
      </c>
      <c r="B3747" s="7" t="s">
        <v>838</v>
      </c>
      <c r="C3747" s="7"/>
      <c r="D3747" s="7"/>
      <c r="E3747" s="7"/>
      <c r="F3747" s="34">
        <f>F3748+F3751+F3756</f>
        <v>21827.1393694093</v>
      </c>
      <c r="G3747" s="96"/>
      <c r="H3747" s="96"/>
      <c r="I3747" s="320"/>
      <c r="J3747" s="321"/>
      <c r="K3747" s="321"/>
      <c r="L3747" s="302"/>
    </row>
    <row r="3748" customHeight="1" spans="1:12">
      <c r="A3748" s="7">
        <v>1</v>
      </c>
      <c r="B3748" s="7" t="s">
        <v>839</v>
      </c>
      <c r="C3748" s="7" t="s">
        <v>840</v>
      </c>
      <c r="D3748" s="297"/>
      <c r="E3748" s="69">
        <f>SUM(E3749:E3750)</f>
        <v>343.3</v>
      </c>
      <c r="F3748" s="69">
        <f>SUM(F3749:F3750)</f>
        <v>2300.75</v>
      </c>
      <c r="G3748" s="96"/>
      <c r="H3748" s="96"/>
      <c r="I3748" s="320"/>
      <c r="J3748" s="321"/>
      <c r="K3748" s="321"/>
      <c r="L3748" s="302"/>
    </row>
    <row r="3749" customHeight="1" spans="1:12">
      <c r="A3749" s="7"/>
      <c r="B3749" s="7" t="s">
        <v>841</v>
      </c>
      <c r="C3749" s="7" t="s">
        <v>840</v>
      </c>
      <c r="D3749" s="69">
        <f>D3711</f>
        <v>8.1</v>
      </c>
      <c r="E3749" s="254">
        <f>137.3</f>
        <v>137.3</v>
      </c>
      <c r="F3749" s="69">
        <f>D3749*E3749</f>
        <v>1112.13</v>
      </c>
      <c r="G3749" s="96"/>
      <c r="H3749" s="96"/>
      <c r="I3749" s="320"/>
      <c r="J3749" s="321"/>
      <c r="K3749" s="321"/>
      <c r="L3749" s="302"/>
    </row>
    <row r="3750" customHeight="1" spans="1:12">
      <c r="A3750" s="7"/>
      <c r="B3750" s="7" t="s">
        <v>842</v>
      </c>
      <c r="C3750" s="7" t="s">
        <v>840</v>
      </c>
      <c r="D3750" s="69">
        <f>D3712</f>
        <v>5.77</v>
      </c>
      <c r="E3750" s="254">
        <f>206</f>
        <v>206</v>
      </c>
      <c r="F3750" s="69">
        <f>D3750*E3750</f>
        <v>1188.62</v>
      </c>
      <c r="G3750" s="96"/>
      <c r="H3750" s="96"/>
      <c r="I3750" s="320"/>
      <c r="J3750" s="321"/>
      <c r="K3750" s="321"/>
      <c r="L3750" s="302"/>
    </row>
    <row r="3751" customHeight="1" spans="1:12">
      <c r="A3751" s="7">
        <v>2</v>
      </c>
      <c r="B3751" s="7" t="s">
        <v>912</v>
      </c>
      <c r="C3751" s="7"/>
      <c r="D3751" s="34"/>
      <c r="E3751" s="34"/>
      <c r="F3751" s="34">
        <f>SUM(F3752:F3755)</f>
        <v>19100.6614161524</v>
      </c>
      <c r="G3751" s="96"/>
      <c r="H3751" s="96"/>
      <c r="I3751" s="320"/>
      <c r="J3751" s="321"/>
      <c r="K3751" s="321"/>
      <c r="L3751" s="302"/>
    </row>
    <row r="3752" customHeight="1" spans="1:12">
      <c r="A3752" s="7"/>
      <c r="B3752" s="7" t="s">
        <v>374</v>
      </c>
      <c r="C3752" s="7" t="s">
        <v>169</v>
      </c>
      <c r="D3752" s="34">
        <f>D3714</f>
        <v>66.2217186407767</v>
      </c>
      <c r="E3752" s="34">
        <f>99</f>
        <v>99</v>
      </c>
      <c r="F3752" s="34">
        <f>D3752*E3752</f>
        <v>6555.95014543689</v>
      </c>
      <c r="G3752" s="96"/>
      <c r="H3752" s="96"/>
      <c r="I3752" s="320"/>
      <c r="J3752" s="321"/>
      <c r="K3752" s="321"/>
      <c r="L3752" s="302"/>
    </row>
    <row r="3753" customHeight="1" spans="1:12">
      <c r="A3753" s="7"/>
      <c r="B3753" s="7" t="s">
        <v>374</v>
      </c>
      <c r="C3753" s="7" t="s">
        <v>169</v>
      </c>
      <c r="D3753" s="34">
        <f>D3752</f>
        <v>66.2217186407767</v>
      </c>
      <c r="E3753" s="34">
        <f>188</f>
        <v>188</v>
      </c>
      <c r="F3753" s="34">
        <f>D3753*E3753</f>
        <v>12449.683104466</v>
      </c>
      <c r="G3753" s="96"/>
      <c r="H3753" s="96"/>
      <c r="I3753" s="320"/>
      <c r="J3753" s="321"/>
      <c r="K3753" s="321"/>
      <c r="L3753" s="302"/>
    </row>
    <row r="3754" customHeight="1" spans="1:12">
      <c r="A3754" s="7"/>
      <c r="B3754" s="7"/>
      <c r="C3754" s="7"/>
      <c r="D3754" s="34"/>
      <c r="E3754" s="34"/>
      <c r="F3754" s="34"/>
      <c r="G3754" s="96"/>
      <c r="H3754" s="96"/>
      <c r="I3754" s="320"/>
      <c r="J3754" s="321"/>
      <c r="K3754" s="321"/>
      <c r="L3754" s="302"/>
    </row>
    <row r="3755" customHeight="1" spans="1:12">
      <c r="A3755" s="7"/>
      <c r="B3755" s="7" t="s">
        <v>1004</v>
      </c>
      <c r="C3755" s="9" t="s">
        <v>845</v>
      </c>
      <c r="D3755" s="34">
        <f>F3752+F3753</f>
        <v>19005.6332499029</v>
      </c>
      <c r="E3755" s="34">
        <v>0.5</v>
      </c>
      <c r="F3755" s="34">
        <f>D3755*E3755/100</f>
        <v>95.0281662495145</v>
      </c>
      <c r="G3755" s="96"/>
      <c r="H3755" s="96"/>
      <c r="I3755" s="320"/>
      <c r="J3755" s="321"/>
      <c r="K3755" s="321"/>
      <c r="L3755" s="302"/>
    </row>
    <row r="3756" customHeight="1" spans="1:12">
      <c r="A3756" s="7">
        <v>3</v>
      </c>
      <c r="B3756" s="7" t="s">
        <v>859</v>
      </c>
      <c r="C3756" s="7"/>
      <c r="D3756" s="34"/>
      <c r="E3756" s="34"/>
      <c r="F3756" s="34">
        <f>SUM(F3757:F3758)</f>
        <v>425.727953256881</v>
      </c>
      <c r="G3756" s="96"/>
      <c r="H3756" s="96"/>
      <c r="I3756" s="320"/>
      <c r="J3756" s="321"/>
      <c r="K3756" s="321"/>
      <c r="L3756" s="302"/>
    </row>
    <row r="3757" customHeight="1" spans="1:12">
      <c r="A3757" s="7"/>
      <c r="B3757" s="7" t="s">
        <v>1224</v>
      </c>
      <c r="C3757" s="7" t="s">
        <v>428</v>
      </c>
      <c r="D3757" s="34">
        <f>D3718</f>
        <v>63.5282110091743</v>
      </c>
      <c r="E3757" s="34">
        <f>6.57</f>
        <v>6.57</v>
      </c>
      <c r="F3757" s="34">
        <f>D3757*E3757</f>
        <v>417.380346330275</v>
      </c>
      <c r="G3757" s="96"/>
      <c r="H3757" s="96"/>
      <c r="I3757" s="320"/>
      <c r="J3757" s="321"/>
      <c r="K3757" s="321"/>
      <c r="L3757" s="302"/>
    </row>
    <row r="3758" customHeight="1" spans="1:12">
      <c r="A3758" s="7"/>
      <c r="B3758" s="7" t="s">
        <v>918</v>
      </c>
      <c r="C3758" s="9" t="s">
        <v>845</v>
      </c>
      <c r="D3758" s="34">
        <f>F3757</f>
        <v>417.380346330275</v>
      </c>
      <c r="E3758" s="34">
        <v>2</v>
      </c>
      <c r="F3758" s="34">
        <f>D3758*E3758/100</f>
        <v>8.3476069266055</v>
      </c>
      <c r="G3758" s="96"/>
      <c r="H3758" s="96"/>
      <c r="I3758" s="320"/>
      <c r="J3758" s="321"/>
      <c r="K3758" s="321"/>
      <c r="L3758" s="302"/>
    </row>
    <row r="3759" customHeight="1" spans="1:12">
      <c r="A3759" s="7" t="s">
        <v>564</v>
      </c>
      <c r="B3759" s="7" t="s">
        <v>846</v>
      </c>
      <c r="C3759" s="230">
        <f>取费表!$C$12</f>
        <v>0.048</v>
      </c>
      <c r="D3759" s="34"/>
      <c r="E3759" s="34">
        <f>F3747</f>
        <v>21827.1393694093</v>
      </c>
      <c r="F3759" s="34">
        <f>E3759*C3759</f>
        <v>1047.70268973165</v>
      </c>
      <c r="G3759" s="96"/>
      <c r="H3759" s="96"/>
      <c r="I3759" s="320"/>
      <c r="J3759" s="321"/>
      <c r="K3759" s="321"/>
      <c r="L3759" s="302"/>
    </row>
    <row r="3760" customHeight="1" spans="1:12">
      <c r="A3760" s="7"/>
      <c r="B3760" s="7"/>
      <c r="C3760" s="230"/>
      <c r="D3760" s="34"/>
      <c r="E3760" s="34"/>
      <c r="F3760" s="34"/>
      <c r="G3760" s="96"/>
      <c r="H3760" s="96"/>
      <c r="I3760" s="320"/>
      <c r="J3760" s="321"/>
      <c r="K3760" s="321"/>
      <c r="L3760" s="302"/>
    </row>
    <row r="3761" customHeight="1" spans="1:12">
      <c r="A3761" s="7" t="s">
        <v>439</v>
      </c>
      <c r="B3761" s="7" t="s">
        <v>847</v>
      </c>
      <c r="C3761" s="230">
        <f>取费表!$E$12</f>
        <v>0.0725</v>
      </c>
      <c r="D3761" s="34"/>
      <c r="E3761" s="34">
        <f>F3746</f>
        <v>22874.8420591409</v>
      </c>
      <c r="F3761" s="34">
        <f>E3761*C3761</f>
        <v>1658.42604928772</v>
      </c>
      <c r="G3761" s="96"/>
      <c r="H3761" s="96"/>
      <c r="I3761" s="320"/>
      <c r="J3761" s="321"/>
      <c r="K3761" s="321"/>
      <c r="L3761" s="302"/>
    </row>
    <row r="3762" customHeight="1" spans="1:12">
      <c r="A3762" s="7" t="s">
        <v>83</v>
      </c>
      <c r="B3762" s="7" t="s">
        <v>848</v>
      </c>
      <c r="C3762" s="230">
        <f>取费表!$F$12</f>
        <v>0.05</v>
      </c>
      <c r="D3762" s="34"/>
      <c r="E3762" s="34">
        <f>F3761+F3746</f>
        <v>24533.2681084286</v>
      </c>
      <c r="F3762" s="34">
        <f>E3762*C3762</f>
        <v>1226.66340542143</v>
      </c>
      <c r="G3762" s="96"/>
      <c r="H3762" s="96"/>
      <c r="I3762" s="320"/>
      <c r="J3762" s="321"/>
      <c r="K3762" s="321"/>
      <c r="L3762" s="302"/>
    </row>
    <row r="3763" customHeight="1" spans="1:12">
      <c r="A3763" s="5" t="s">
        <v>121</v>
      </c>
      <c r="B3763" s="5" t="s">
        <v>861</v>
      </c>
      <c r="C3763" s="275"/>
      <c r="D3763" s="276"/>
      <c r="E3763" s="5"/>
      <c r="F3763" s="277">
        <f>F3764</f>
        <v>195.5889</v>
      </c>
      <c r="G3763" s="96"/>
      <c r="H3763" s="96"/>
      <c r="I3763" s="320"/>
      <c r="J3763" s="321"/>
      <c r="K3763" s="321"/>
      <c r="L3763" s="302"/>
    </row>
    <row r="3764" customHeight="1" spans="1:12">
      <c r="A3764" s="7">
        <v>2</v>
      </c>
      <c r="B3764" s="7" t="s">
        <v>1013</v>
      </c>
      <c r="C3764" s="7"/>
      <c r="D3764" s="34"/>
      <c r="E3764" s="38"/>
      <c r="F3764" s="69">
        <f>SUM(F3765:F3767)</f>
        <v>195.5889</v>
      </c>
      <c r="G3764" s="96"/>
      <c r="H3764" s="96"/>
      <c r="I3764" s="320"/>
      <c r="J3764" s="321"/>
      <c r="K3764" s="321"/>
      <c r="L3764" s="302"/>
    </row>
    <row r="3765" customHeight="1" spans="1:12">
      <c r="A3765" s="7"/>
      <c r="B3765" s="7" t="s">
        <v>374</v>
      </c>
      <c r="C3765" s="7" t="s">
        <v>169</v>
      </c>
      <c r="D3765" s="34">
        <f>D3726</f>
        <v>0</v>
      </c>
      <c r="E3765" s="38">
        <f>E3752+E3753</f>
        <v>287</v>
      </c>
      <c r="F3765" s="69">
        <f>D3765*E3765</f>
        <v>0</v>
      </c>
      <c r="G3765" s="96"/>
      <c r="H3765" s="96"/>
      <c r="I3765" s="320"/>
      <c r="J3765" s="321"/>
      <c r="K3765" s="321"/>
      <c r="L3765" s="302"/>
    </row>
    <row r="3766" customHeight="1" spans="1:12">
      <c r="A3766" s="7"/>
      <c r="B3766" s="7" t="s">
        <v>1014</v>
      </c>
      <c r="C3766" s="7" t="s">
        <v>863</v>
      </c>
      <c r="D3766" s="34">
        <f>D3727</f>
        <v>5.925</v>
      </c>
      <c r="E3766" s="38">
        <v>0</v>
      </c>
      <c r="F3766" s="69">
        <f>D3766*E3766</f>
        <v>0</v>
      </c>
      <c r="G3766" s="96"/>
      <c r="H3766" s="96"/>
      <c r="I3766" s="320"/>
      <c r="J3766" s="321"/>
      <c r="K3766" s="321"/>
      <c r="L3766" s="302"/>
    </row>
    <row r="3767" customHeight="1" spans="1:12">
      <c r="A3767" s="7"/>
      <c r="B3767" s="7" t="s">
        <v>862</v>
      </c>
      <c r="C3767" s="9" t="s">
        <v>863</v>
      </c>
      <c r="D3767" s="34">
        <f>D3728</f>
        <v>4.58</v>
      </c>
      <c r="E3767" s="38">
        <f>(E3757*6.5)</f>
        <v>42.705</v>
      </c>
      <c r="F3767" s="69">
        <f>D3767*E3767</f>
        <v>195.5889</v>
      </c>
      <c r="G3767" s="96"/>
      <c r="H3767" s="96"/>
      <c r="I3767" s="320"/>
      <c r="J3767" s="321"/>
      <c r="K3767" s="321"/>
      <c r="L3767" s="302"/>
    </row>
    <row r="3768" customHeight="1" spans="1:12">
      <c r="A3768" s="7" t="s">
        <v>135</v>
      </c>
      <c r="B3768" s="7" t="s">
        <v>849</v>
      </c>
      <c r="C3768" s="231">
        <f>C3729</f>
        <v>0.09</v>
      </c>
      <c r="D3768" s="283"/>
      <c r="E3768" s="34">
        <f>F3763+F3762+F3761+F3746</f>
        <v>25955.5204138501</v>
      </c>
      <c r="F3768" s="34">
        <f>E3768*C3768</f>
        <v>2335.9968372465</v>
      </c>
      <c r="G3768" s="96"/>
      <c r="H3768" s="96"/>
      <c r="I3768" s="320"/>
      <c r="J3768" s="321"/>
      <c r="K3768" s="321"/>
      <c r="L3768" s="302"/>
    </row>
    <row r="3769" customHeight="1" spans="1:12">
      <c r="A3769" s="7"/>
      <c r="B3769" s="7" t="s">
        <v>850</v>
      </c>
      <c r="C3769" s="231"/>
      <c r="D3769" s="283"/>
      <c r="E3769" s="34"/>
      <c r="F3769" s="34">
        <f>(F3746+F3761+F3762+F3763+F3768)*取费表!H12</f>
        <v>848.745517532897</v>
      </c>
      <c r="G3769" s="96"/>
      <c r="H3769" s="96"/>
      <c r="I3769" s="320"/>
      <c r="J3769" s="321"/>
      <c r="K3769" s="321"/>
      <c r="L3769" s="302"/>
    </row>
    <row r="3770" customHeight="1" spans="1:12">
      <c r="A3770" s="7"/>
      <c r="B3770" s="7" t="s">
        <v>156</v>
      </c>
      <c r="C3770" s="8"/>
      <c r="D3770" s="283"/>
      <c r="E3770" s="283"/>
      <c r="F3770" s="34">
        <f>F3768+E3768+F3769</f>
        <v>29140.2627686295</v>
      </c>
      <c r="G3770" s="96"/>
      <c r="H3770" s="96"/>
      <c r="I3770" s="320"/>
      <c r="J3770" s="321"/>
      <c r="K3770" s="321"/>
      <c r="L3770" s="302"/>
    </row>
    <row r="3771" customHeight="1" spans="1:12">
      <c r="A3771" s="7"/>
      <c r="B3771" s="7"/>
      <c r="C3771" s="8"/>
      <c r="D3771" s="283"/>
      <c r="E3771" s="283"/>
      <c r="F3771" s="34"/>
      <c r="G3771" s="96"/>
      <c r="H3771" s="96"/>
      <c r="I3771" s="320"/>
      <c r="J3771" s="321"/>
      <c r="K3771" s="321"/>
      <c r="L3771" s="302"/>
    </row>
    <row r="3772" customHeight="1" spans="1:12">
      <c r="A3772" s="7"/>
      <c r="B3772" s="7"/>
      <c r="C3772" s="8"/>
      <c r="D3772" s="283"/>
      <c r="E3772" s="283"/>
      <c r="F3772" s="34"/>
      <c r="G3772" s="96"/>
      <c r="H3772" s="96"/>
      <c r="I3772" s="320"/>
      <c r="J3772" s="321"/>
      <c r="K3772" s="321"/>
      <c r="L3772" s="302"/>
    </row>
    <row r="3773" customHeight="1" spans="1:12">
      <c r="A3773" s="7"/>
      <c r="B3773" s="7"/>
      <c r="C3773" s="8"/>
      <c r="D3773" s="283"/>
      <c r="E3773" s="283"/>
      <c r="F3773" s="34"/>
      <c r="G3773" s="96"/>
      <c r="H3773" s="96"/>
      <c r="I3773" s="320"/>
      <c r="J3773" s="321"/>
      <c r="K3773" s="321"/>
      <c r="L3773" s="302"/>
    </row>
    <row r="3774" customHeight="1" spans="1:12">
      <c r="A3774" s="7"/>
      <c r="B3774" s="7"/>
      <c r="C3774" s="8"/>
      <c r="D3774" s="283"/>
      <c r="E3774" s="283"/>
      <c r="F3774" s="34"/>
      <c r="G3774" s="96"/>
      <c r="H3774" s="96"/>
      <c r="I3774" s="320"/>
      <c r="J3774" s="321"/>
      <c r="K3774" s="321"/>
      <c r="L3774" s="302"/>
    </row>
    <row r="3775" customHeight="1" spans="1:12">
      <c r="A3775" s="7"/>
      <c r="B3775" s="7"/>
      <c r="C3775" s="8"/>
      <c r="D3775" s="283"/>
      <c r="E3775" s="283"/>
      <c r="F3775" s="34"/>
      <c r="G3775" s="96"/>
      <c r="H3775" s="96"/>
      <c r="I3775" s="320"/>
      <c r="J3775" s="321"/>
      <c r="K3775" s="321"/>
      <c r="L3775" s="302"/>
    </row>
    <row r="3776" customHeight="1" spans="1:12">
      <c r="A3776" s="7"/>
      <c r="B3776" s="7"/>
      <c r="C3776" s="8"/>
      <c r="D3776" s="283"/>
      <c r="E3776" s="283"/>
      <c r="F3776" s="34"/>
      <c r="G3776" s="96"/>
      <c r="H3776" s="96"/>
      <c r="I3776" s="320"/>
      <c r="J3776" s="321"/>
      <c r="K3776" s="321"/>
      <c r="L3776" s="302"/>
    </row>
    <row r="3777" customHeight="1" spans="1:12">
      <c r="A3777" s="7"/>
      <c r="B3777" s="7"/>
      <c r="C3777" s="8"/>
      <c r="D3777" s="283"/>
      <c r="E3777" s="283"/>
      <c r="F3777" s="34"/>
      <c r="G3777" s="96"/>
      <c r="H3777" s="96"/>
      <c r="I3777" s="320"/>
      <c r="J3777" s="321"/>
      <c r="K3777" s="321"/>
      <c r="L3777" s="302"/>
    </row>
    <row r="3778" customHeight="1" spans="1:12">
      <c r="A3778" s="7"/>
      <c r="B3778" s="7"/>
      <c r="C3778" s="8"/>
      <c r="D3778" s="283"/>
      <c r="E3778" s="283"/>
      <c r="F3778" s="34"/>
      <c r="G3778" s="96"/>
      <c r="H3778" s="96"/>
      <c r="I3778" s="320"/>
      <c r="J3778" s="321"/>
      <c r="K3778" s="321"/>
      <c r="L3778" s="302"/>
    </row>
    <row r="3779" s="221" customFormat="1" customHeight="1" spans="1:12">
      <c r="A3779" s="248" t="s">
        <v>881</v>
      </c>
      <c r="B3779" s="225"/>
      <c r="C3779" s="225"/>
      <c r="D3779" s="225"/>
      <c r="E3779" s="225"/>
      <c r="F3779" s="225"/>
      <c r="G3779" s="248" t="s">
        <v>881</v>
      </c>
      <c r="H3779" s="225"/>
      <c r="I3779" s="225"/>
      <c r="J3779" s="225"/>
      <c r="K3779" s="225"/>
      <c r="L3779" s="225"/>
    </row>
    <row r="3780" customHeight="1" spans="1:12">
      <c r="A3780" s="278" t="s">
        <v>1226</v>
      </c>
      <c r="B3780" s="272"/>
      <c r="C3780" s="272"/>
      <c r="D3780" s="272"/>
      <c r="E3780" s="272"/>
      <c r="F3780" s="272"/>
      <c r="G3780" s="278" t="s">
        <v>1226</v>
      </c>
      <c r="H3780" s="272"/>
      <c r="I3780" s="272"/>
      <c r="J3780" s="272"/>
      <c r="K3780" s="272"/>
      <c r="L3780" s="272"/>
    </row>
    <row r="3781" customHeight="1" spans="1:12">
      <c r="A3781" s="227" t="s">
        <v>1227</v>
      </c>
      <c r="B3781" s="228"/>
      <c r="C3781" s="272"/>
      <c r="D3781" s="272"/>
      <c r="E3781" s="228" t="s">
        <v>1221</v>
      </c>
      <c r="F3781" s="228"/>
      <c r="G3781" s="227" t="s">
        <v>1227</v>
      </c>
      <c r="H3781" s="228"/>
      <c r="I3781" s="272"/>
      <c r="J3781" s="272"/>
      <c r="K3781" s="228" t="s">
        <v>1221</v>
      </c>
      <c r="L3781" s="228"/>
    </row>
    <row r="3782" customHeight="1" spans="1:12">
      <c r="A3782" s="232" t="s">
        <v>1228</v>
      </c>
      <c r="B3782" s="233"/>
      <c r="C3782" s="233"/>
      <c r="D3782" s="233"/>
      <c r="E3782" s="233"/>
      <c r="F3782" s="147"/>
      <c r="G3782" s="232" t="s">
        <v>1225</v>
      </c>
      <c r="H3782" s="233"/>
      <c r="I3782" s="233"/>
      <c r="J3782" s="233"/>
      <c r="K3782" s="233"/>
      <c r="L3782" s="147"/>
    </row>
    <row r="3783" customHeight="1" spans="1:12">
      <c r="A3783" s="7" t="s">
        <v>104</v>
      </c>
      <c r="B3783" s="7" t="s">
        <v>835</v>
      </c>
      <c r="C3783" s="7" t="s">
        <v>159</v>
      </c>
      <c r="D3783" s="7" t="s">
        <v>422</v>
      </c>
      <c r="E3783" s="7" t="s">
        <v>160</v>
      </c>
      <c r="F3783" s="7" t="s">
        <v>18</v>
      </c>
      <c r="G3783" s="7" t="s">
        <v>104</v>
      </c>
      <c r="H3783" s="7" t="s">
        <v>835</v>
      </c>
      <c r="I3783" s="7" t="s">
        <v>159</v>
      </c>
      <c r="J3783" s="7" t="s">
        <v>422</v>
      </c>
      <c r="K3783" s="7" t="s">
        <v>160</v>
      </c>
      <c r="L3783" s="7" t="s">
        <v>18</v>
      </c>
    </row>
    <row r="3784" customHeight="1" spans="1:12">
      <c r="A3784" s="7" t="s">
        <v>836</v>
      </c>
      <c r="B3784" s="7" t="s">
        <v>837</v>
      </c>
      <c r="C3784" s="7"/>
      <c r="D3784" s="7"/>
      <c r="E3784" s="7"/>
      <c r="F3784" s="34">
        <f>F3785+F3797+F3798</f>
        <v>40629.0881245008</v>
      </c>
      <c r="G3784" s="7" t="s">
        <v>836</v>
      </c>
      <c r="H3784" s="7" t="s">
        <v>837</v>
      </c>
      <c r="I3784" s="7"/>
      <c r="J3784" s="7"/>
      <c r="K3784" s="7"/>
      <c r="L3784" s="34">
        <f>L3785+L3797+L3798</f>
        <v>53112.1189875512</v>
      </c>
    </row>
    <row r="3785" customHeight="1" spans="1:12">
      <c r="A3785" s="7" t="s">
        <v>539</v>
      </c>
      <c r="B3785" s="7" t="s">
        <v>838</v>
      </c>
      <c r="C3785" s="7"/>
      <c r="D3785" s="7"/>
      <c r="E3785" s="7"/>
      <c r="F3785" s="34">
        <f>F3786+F3789+F3793</f>
        <v>38768.2138592565</v>
      </c>
      <c r="G3785" s="7" t="s">
        <v>539</v>
      </c>
      <c r="H3785" s="7" t="s">
        <v>838</v>
      </c>
      <c r="I3785" s="7"/>
      <c r="J3785" s="7"/>
      <c r="K3785" s="7"/>
      <c r="L3785" s="34">
        <f>L3786+L3789+L3793</f>
        <v>50679.5028507168</v>
      </c>
    </row>
    <row r="3786" customHeight="1" spans="1:12">
      <c r="A3786" s="7">
        <v>1</v>
      </c>
      <c r="B3786" s="7" t="s">
        <v>839</v>
      </c>
      <c r="C3786" s="7" t="s">
        <v>840</v>
      </c>
      <c r="D3786" s="34"/>
      <c r="E3786" s="69">
        <f>SUM(E3787:E3788)</f>
        <v>1590</v>
      </c>
      <c r="F3786" s="69">
        <f>SUM(F3787:F3788)</f>
        <v>10656.18</v>
      </c>
      <c r="G3786" s="7">
        <v>1</v>
      </c>
      <c r="H3786" s="7" t="s">
        <v>839</v>
      </c>
      <c r="I3786" s="7" t="s">
        <v>840</v>
      </c>
      <c r="J3786" s="34"/>
      <c r="K3786" s="69">
        <f>SUM(K3787:K3788)</f>
        <v>1975</v>
      </c>
      <c r="L3786" s="69">
        <f>SUM(L3787:L3788)</f>
        <v>13238.78</v>
      </c>
    </row>
    <row r="3787" s="217" customFormat="1" customHeight="1" spans="1:12">
      <c r="A3787" s="7"/>
      <c r="B3787" s="7" t="s">
        <v>841</v>
      </c>
      <c r="C3787" s="7" t="s">
        <v>840</v>
      </c>
      <c r="D3787" s="69">
        <f>D3711</f>
        <v>8.1</v>
      </c>
      <c r="E3787" s="69">
        <f>636</f>
        <v>636</v>
      </c>
      <c r="F3787" s="69">
        <f>D3787*E3787</f>
        <v>5151.6</v>
      </c>
      <c r="G3787" s="7"/>
      <c r="H3787" s="7" t="s">
        <v>841</v>
      </c>
      <c r="I3787" s="7" t="s">
        <v>840</v>
      </c>
      <c r="J3787" s="69">
        <f>J3711</f>
        <v>8.1</v>
      </c>
      <c r="K3787" s="69">
        <f>636+31*5</f>
        <v>791</v>
      </c>
      <c r="L3787" s="69">
        <f t="shared" ref="L3787:L3791" si="236">J3787*K3787</f>
        <v>6407.1</v>
      </c>
    </row>
    <row r="3788" s="217" customFormat="1" customHeight="1" spans="1:12">
      <c r="A3788" s="7"/>
      <c r="B3788" s="7" t="s">
        <v>842</v>
      </c>
      <c r="C3788" s="7" t="s">
        <v>840</v>
      </c>
      <c r="D3788" s="69">
        <f>D3712</f>
        <v>5.77</v>
      </c>
      <c r="E3788" s="69">
        <f>954</f>
        <v>954</v>
      </c>
      <c r="F3788" s="69">
        <f>D3788*E3788</f>
        <v>5504.58</v>
      </c>
      <c r="G3788" s="7"/>
      <c r="H3788" s="7" t="s">
        <v>842</v>
      </c>
      <c r="I3788" s="7" t="s">
        <v>840</v>
      </c>
      <c r="J3788" s="69">
        <f>J3712</f>
        <v>5.77</v>
      </c>
      <c r="K3788" s="69">
        <f>954+46*5</f>
        <v>1184</v>
      </c>
      <c r="L3788" s="69">
        <f t="shared" si="236"/>
        <v>6831.68</v>
      </c>
    </row>
    <row r="3789" customHeight="1" spans="1:12">
      <c r="A3789" s="7">
        <v>2</v>
      </c>
      <c r="B3789" s="7" t="s">
        <v>912</v>
      </c>
      <c r="C3789" s="7"/>
      <c r="D3789" s="34"/>
      <c r="E3789" s="34"/>
      <c r="F3789" s="34">
        <f>SUM(F3790:F3792)</f>
        <v>28046.780981235</v>
      </c>
      <c r="G3789" s="7">
        <v>2</v>
      </c>
      <c r="H3789" s="7" t="s">
        <v>912</v>
      </c>
      <c r="I3789" s="7"/>
      <c r="J3789" s="34"/>
      <c r="K3789" s="34"/>
      <c r="L3789" s="34">
        <f>SUM(L3790:L3792)</f>
        <v>37334.8341567</v>
      </c>
    </row>
    <row r="3790" customHeight="1" spans="1:12">
      <c r="A3790" s="7"/>
      <c r="B3790" s="273" t="s">
        <v>996</v>
      </c>
      <c r="C3790" s="7" t="s">
        <v>169</v>
      </c>
      <c r="D3790" s="34">
        <f>材料预算价!K10</f>
        <v>2238.008025</v>
      </c>
      <c r="E3790" s="34">
        <f>0.23</f>
        <v>0.23</v>
      </c>
      <c r="F3790" s="34">
        <f>D3790*E3790</f>
        <v>514.74184575</v>
      </c>
      <c r="G3790" s="7"/>
      <c r="H3790" s="273" t="s">
        <v>996</v>
      </c>
      <c r="I3790" s="7" t="s">
        <v>169</v>
      </c>
      <c r="J3790" s="34">
        <f>D3790</f>
        <v>2238.008025</v>
      </c>
      <c r="K3790" s="34">
        <f>0.23+0.01*5</f>
        <v>0.28</v>
      </c>
      <c r="L3790" s="34">
        <f t="shared" si="236"/>
        <v>626.642247</v>
      </c>
    </row>
    <row r="3791" customHeight="1" spans="1:12">
      <c r="A3791" s="7"/>
      <c r="B3791" s="7" t="s">
        <v>1003</v>
      </c>
      <c r="C3791" s="7" t="s">
        <v>169</v>
      </c>
      <c r="D3791" s="34">
        <f>配合比!M8</f>
        <v>176.3536095</v>
      </c>
      <c r="E3791" s="34">
        <f>153</f>
        <v>153</v>
      </c>
      <c r="F3791" s="34">
        <f>D3791*E3791</f>
        <v>26982.1022535</v>
      </c>
      <c r="G3791" s="7"/>
      <c r="H3791" s="7" t="s">
        <v>1003</v>
      </c>
      <c r="I3791" s="7" t="s">
        <v>169</v>
      </c>
      <c r="J3791" s="34">
        <f>配合比!M8</f>
        <v>176.3536095</v>
      </c>
      <c r="K3791" s="34">
        <f>153+10.2*5</f>
        <v>204</v>
      </c>
      <c r="L3791" s="34">
        <f t="shared" si="236"/>
        <v>35976.136338</v>
      </c>
    </row>
    <row r="3792" customHeight="1" spans="1:12">
      <c r="A3792" s="7"/>
      <c r="B3792" s="7" t="s">
        <v>1004</v>
      </c>
      <c r="C3792" s="9" t="s">
        <v>845</v>
      </c>
      <c r="D3792" s="34">
        <f>F3790+F3791</f>
        <v>27496.84409925</v>
      </c>
      <c r="E3792" s="34">
        <v>2</v>
      </c>
      <c r="F3792" s="34">
        <f>D3792*E3792/100</f>
        <v>549.936881985</v>
      </c>
      <c r="G3792" s="7"/>
      <c r="H3792" s="7" t="s">
        <v>1004</v>
      </c>
      <c r="I3792" s="9" t="s">
        <v>845</v>
      </c>
      <c r="J3792" s="34">
        <f>L3790+L3791</f>
        <v>36602.778585</v>
      </c>
      <c r="K3792" s="34">
        <v>2</v>
      </c>
      <c r="L3792" s="34">
        <f>J3792*K3792/100</f>
        <v>732.0555717</v>
      </c>
    </row>
    <row r="3793" customHeight="1" spans="1:12">
      <c r="A3793" s="7">
        <v>3</v>
      </c>
      <c r="B3793" s="7" t="s">
        <v>859</v>
      </c>
      <c r="C3793" s="7"/>
      <c r="D3793" s="34"/>
      <c r="E3793" s="34"/>
      <c r="F3793" s="34">
        <f>SUM(F3796:F3796)</f>
        <v>65.2528780215397</v>
      </c>
      <c r="G3793" s="7">
        <v>3</v>
      </c>
      <c r="H3793" s="7" t="s">
        <v>859</v>
      </c>
      <c r="I3793" s="7"/>
      <c r="J3793" s="34"/>
      <c r="K3793" s="34"/>
      <c r="L3793" s="34">
        <f>SUM(L3796:L3796)</f>
        <v>105.888694016753</v>
      </c>
    </row>
    <row r="3794" customHeight="1" spans="1:12">
      <c r="A3794" s="7"/>
      <c r="B3794" s="7" t="s">
        <v>1229</v>
      </c>
      <c r="C3794" s="7" t="s">
        <v>428</v>
      </c>
      <c r="D3794" s="34">
        <f>台时!D42</f>
        <v>23.9179521340247</v>
      </c>
      <c r="E3794" s="34">
        <f>24</f>
        <v>24</v>
      </c>
      <c r="F3794" s="34">
        <f>D3794*E3794</f>
        <v>574.030851216594</v>
      </c>
      <c r="G3794" s="7"/>
      <c r="H3794" s="7" t="s">
        <v>1229</v>
      </c>
      <c r="I3794" s="7" t="s">
        <v>428</v>
      </c>
      <c r="J3794" s="34">
        <f>D3794</f>
        <v>23.9179521340247</v>
      </c>
      <c r="K3794" s="34">
        <f>24+1.6*5</f>
        <v>32</v>
      </c>
      <c r="L3794" s="34">
        <f>J3794*K3794</f>
        <v>765.374468288791</v>
      </c>
    </row>
    <row r="3795" customHeight="1" spans="1:12">
      <c r="A3795" s="7"/>
      <c r="B3795" s="7" t="s">
        <v>887</v>
      </c>
      <c r="C3795" s="7" t="s">
        <v>428</v>
      </c>
      <c r="D3795" s="34">
        <f>台时!G189</f>
        <v>73.10267092142</v>
      </c>
      <c r="E3795" s="34">
        <f>10</f>
        <v>10</v>
      </c>
      <c r="F3795" s="34">
        <f>D3795*E3795</f>
        <v>731.0267092142</v>
      </c>
      <c r="G3795" s="7"/>
      <c r="H3795" s="7" t="s">
        <v>887</v>
      </c>
      <c r="I3795" s="7" t="s">
        <v>428</v>
      </c>
      <c r="J3795" s="34">
        <f>D3795</f>
        <v>73.10267092142</v>
      </c>
      <c r="K3795" s="34">
        <f>10+1.7*5</f>
        <v>18.5</v>
      </c>
      <c r="L3795" s="34">
        <f>J3795*K3795</f>
        <v>1352.39941204627</v>
      </c>
    </row>
    <row r="3796" customHeight="1" spans="1:12">
      <c r="A3796" s="7"/>
      <c r="B3796" s="7" t="s">
        <v>918</v>
      </c>
      <c r="C3796" s="9" t="s">
        <v>845</v>
      </c>
      <c r="D3796" s="34">
        <f>F3794+F3795</f>
        <v>1305.05756043079</v>
      </c>
      <c r="E3796" s="34">
        <v>5</v>
      </c>
      <c r="F3796" s="34">
        <f>D3796*E3796/100</f>
        <v>65.2528780215397</v>
      </c>
      <c r="G3796" s="7"/>
      <c r="H3796" s="7" t="s">
        <v>918</v>
      </c>
      <c r="I3796" s="9" t="s">
        <v>845</v>
      </c>
      <c r="J3796" s="34">
        <f>L3794+L3795</f>
        <v>2117.77388033506</v>
      </c>
      <c r="K3796" s="34">
        <v>5</v>
      </c>
      <c r="L3796" s="34">
        <f>J3796*K3796/100</f>
        <v>105.888694016753</v>
      </c>
    </row>
    <row r="3797" customHeight="1" spans="1:12">
      <c r="A3797" s="7" t="s">
        <v>564</v>
      </c>
      <c r="B3797" s="7" t="s">
        <v>846</v>
      </c>
      <c r="C3797" s="230">
        <f>取费表!$C$7</f>
        <v>0.048</v>
      </c>
      <c r="D3797" s="34"/>
      <c r="E3797" s="34">
        <f>F3785</f>
        <v>38768.2138592565</v>
      </c>
      <c r="F3797" s="34">
        <f>E3797*C3797</f>
        <v>1860.87426524431</v>
      </c>
      <c r="G3797" s="7" t="s">
        <v>564</v>
      </c>
      <c r="H3797" s="7" t="s">
        <v>846</v>
      </c>
      <c r="I3797" s="230">
        <f>取费表!$C$7</f>
        <v>0.048</v>
      </c>
      <c r="J3797" s="34"/>
      <c r="K3797" s="34">
        <f>L3785</f>
        <v>50679.5028507168</v>
      </c>
      <c r="L3797" s="34">
        <f t="shared" ref="L3797:L3800" si="237">K3797*I3797</f>
        <v>2432.6161368344</v>
      </c>
    </row>
    <row r="3798" customHeight="1" spans="1:12">
      <c r="A3798" s="7"/>
      <c r="B3798" s="7"/>
      <c r="C3798" s="230"/>
      <c r="D3798" s="34"/>
      <c r="E3798" s="34"/>
      <c r="F3798" s="34"/>
      <c r="G3798" s="7"/>
      <c r="H3798" s="7"/>
      <c r="I3798" s="230"/>
      <c r="J3798" s="34"/>
      <c r="K3798" s="34"/>
      <c r="L3798" s="34"/>
    </row>
    <row r="3799" customHeight="1" spans="1:12">
      <c r="A3799" s="7" t="s">
        <v>439</v>
      </c>
      <c r="B3799" s="7" t="s">
        <v>847</v>
      </c>
      <c r="C3799" s="230">
        <f>取费表!$E$7</f>
        <v>0.07</v>
      </c>
      <c r="D3799" s="34"/>
      <c r="E3799" s="34">
        <f>F3784</f>
        <v>40629.0881245008</v>
      </c>
      <c r="F3799" s="34">
        <f>E3799*C3799</f>
        <v>2844.03616871506</v>
      </c>
      <c r="G3799" s="7" t="s">
        <v>439</v>
      </c>
      <c r="H3799" s="7" t="s">
        <v>847</v>
      </c>
      <c r="I3799" s="230">
        <f>取费表!$E$7</f>
        <v>0.07</v>
      </c>
      <c r="J3799" s="34"/>
      <c r="K3799" s="34">
        <f>L3784</f>
        <v>53112.1189875512</v>
      </c>
      <c r="L3799" s="34">
        <f t="shared" si="237"/>
        <v>3717.84832912858</v>
      </c>
    </row>
    <row r="3800" customHeight="1" spans="1:12">
      <c r="A3800" s="7" t="s">
        <v>83</v>
      </c>
      <c r="B3800" s="7" t="s">
        <v>848</v>
      </c>
      <c r="C3800" s="230">
        <f>取费表!$F$7</f>
        <v>0.07</v>
      </c>
      <c r="D3800" s="34"/>
      <c r="E3800" s="34">
        <f>F3799+F3784</f>
        <v>43473.1242932159</v>
      </c>
      <c r="F3800" s="34">
        <f>E3800*C3800</f>
        <v>3043.11870052511</v>
      </c>
      <c r="G3800" s="7" t="s">
        <v>83</v>
      </c>
      <c r="H3800" s="7" t="s">
        <v>848</v>
      </c>
      <c r="I3800" s="230">
        <f>取费表!$F$7</f>
        <v>0.07</v>
      </c>
      <c r="J3800" s="34"/>
      <c r="K3800" s="34">
        <f>L3799+L3784</f>
        <v>56829.9673166797</v>
      </c>
      <c r="L3800" s="34">
        <f t="shared" si="237"/>
        <v>3978.09771216758</v>
      </c>
    </row>
    <row r="3801" s="220" customFormat="1" customHeight="1" spans="1:12">
      <c r="A3801" s="5" t="s">
        <v>121</v>
      </c>
      <c r="B3801" s="5" t="s">
        <v>861</v>
      </c>
      <c r="C3801" s="275"/>
      <c r="D3801" s="276"/>
      <c r="E3801" s="5"/>
      <c r="F3801" s="277">
        <f>F3802+F3807</f>
        <v>13763.8228201076</v>
      </c>
      <c r="G3801" s="5" t="s">
        <v>121</v>
      </c>
      <c r="H3801" s="5" t="s">
        <v>861</v>
      </c>
      <c r="I3801" s="275"/>
      <c r="J3801" s="276"/>
      <c r="K3801" s="5"/>
      <c r="L3801" s="277">
        <f>L3802+L3807</f>
        <v>18593.1297601435</v>
      </c>
    </row>
    <row r="3802" customHeight="1" spans="1:12">
      <c r="A3802" s="7">
        <v>1</v>
      </c>
      <c r="B3802" s="7" t="s">
        <v>1011</v>
      </c>
      <c r="C3802" s="9"/>
      <c r="D3802" s="34"/>
      <c r="E3802" s="7"/>
      <c r="F3802" s="69">
        <f>SUM(F3803:F3806)</f>
        <v>13296.6628201076</v>
      </c>
      <c r="G3802" s="7">
        <v>1</v>
      </c>
      <c r="H3802" s="7" t="s">
        <v>1011</v>
      </c>
      <c r="I3802" s="9"/>
      <c r="J3802" s="34"/>
      <c r="K3802" s="7"/>
      <c r="L3802" s="69">
        <f>SUM(L3803:L3806)</f>
        <v>17728.8837601435</v>
      </c>
    </row>
    <row r="3803" customHeight="1" spans="1:12">
      <c r="A3803" s="7"/>
      <c r="B3803" s="7" t="s">
        <v>979</v>
      </c>
      <c r="C3803" s="7" t="s">
        <v>169</v>
      </c>
      <c r="D3803" s="34">
        <f>材料预算价!K5-材料预算价!L5</f>
        <v>141.58936</v>
      </c>
      <c r="E3803" s="38">
        <f>E3791*配合比!E8</f>
        <v>47.001141</v>
      </c>
      <c r="F3803" s="69">
        <f>E3803*D3803</f>
        <v>6654.86147345976</v>
      </c>
      <c r="G3803" s="7"/>
      <c r="H3803" s="7" t="s">
        <v>979</v>
      </c>
      <c r="I3803" s="7" t="s">
        <v>169</v>
      </c>
      <c r="J3803" s="34">
        <f>D3803</f>
        <v>141.58936</v>
      </c>
      <c r="K3803" s="38">
        <f>K3791*配合比!E8</f>
        <v>62.668188</v>
      </c>
      <c r="L3803" s="69">
        <f t="shared" ref="L3803:L3805" si="238">K3803*J3803</f>
        <v>8873.14863127968</v>
      </c>
    </row>
    <row r="3804" customHeight="1" spans="1:12">
      <c r="A3804" s="7"/>
      <c r="B3804" s="7" t="s">
        <v>961</v>
      </c>
      <c r="C3804" s="7" t="s">
        <v>169</v>
      </c>
      <c r="D3804" s="34">
        <f>材料预算价!K7-材料预算价!L7</f>
        <v>34.366056</v>
      </c>
      <c r="E3804" s="38">
        <f>E3791*配合比!G8</f>
        <v>84.11634</v>
      </c>
      <c r="F3804" s="69">
        <f>E3804*D3804</f>
        <v>2890.74685095504</v>
      </c>
      <c r="G3804" s="7"/>
      <c r="H3804" s="7" t="s">
        <v>961</v>
      </c>
      <c r="I3804" s="7" t="s">
        <v>169</v>
      </c>
      <c r="J3804" s="34">
        <f>D3804</f>
        <v>34.366056</v>
      </c>
      <c r="K3804" s="38">
        <f>K3791*配合比!G8</f>
        <v>112.15512</v>
      </c>
      <c r="L3804" s="69">
        <f t="shared" si="238"/>
        <v>3854.32913460672</v>
      </c>
    </row>
    <row r="3805" customHeight="1" spans="1:12">
      <c r="A3805" s="7"/>
      <c r="B3805" s="7" t="s">
        <v>1012</v>
      </c>
      <c r="C3805" s="7" t="s">
        <v>169</v>
      </c>
      <c r="D3805" s="34">
        <f>材料预算价!K8-材料预算价!L8</f>
        <v>29.13701</v>
      </c>
      <c r="E3805" s="38">
        <f>E3791*配合比!I8</f>
        <v>128.738484</v>
      </c>
      <c r="F3805" s="69">
        <f>E3805*D3805</f>
        <v>3751.05449569284</v>
      </c>
      <c r="G3805" s="7"/>
      <c r="H3805" s="7" t="s">
        <v>1012</v>
      </c>
      <c r="I3805" s="7" t="s">
        <v>169</v>
      </c>
      <c r="J3805" s="34">
        <f>D3805</f>
        <v>29.13701</v>
      </c>
      <c r="K3805" s="38">
        <f>K3791*配合比!I8</f>
        <v>171.651312</v>
      </c>
      <c r="L3805" s="69">
        <f t="shared" si="238"/>
        <v>5001.40599425712</v>
      </c>
    </row>
    <row r="3806" customHeight="1" spans="1:12">
      <c r="A3806" s="7"/>
      <c r="B3806" s="7"/>
      <c r="C3806" s="7"/>
      <c r="D3806" s="34"/>
      <c r="E3806" s="34"/>
      <c r="F3806" s="69"/>
      <c r="G3806" s="7"/>
      <c r="H3806" s="7"/>
      <c r="I3806" s="7"/>
      <c r="J3806" s="34"/>
      <c r="K3806" s="34"/>
      <c r="L3806" s="69"/>
    </row>
    <row r="3807" customHeight="1" spans="1:12">
      <c r="A3807" s="7">
        <v>2</v>
      </c>
      <c r="B3807" s="7" t="s">
        <v>1013</v>
      </c>
      <c r="C3807" s="7"/>
      <c r="D3807" s="34"/>
      <c r="E3807" s="38"/>
      <c r="F3807" s="69">
        <f>SUM(F3808:F3809)</f>
        <v>467.16</v>
      </c>
      <c r="G3807" s="7">
        <v>2</v>
      </c>
      <c r="H3807" s="7" t="s">
        <v>1013</v>
      </c>
      <c r="I3807" s="7"/>
      <c r="J3807" s="34"/>
      <c r="K3807" s="38"/>
      <c r="L3807" s="69">
        <f>SUM(L3808:L3809)</f>
        <v>864.246</v>
      </c>
    </row>
    <row r="3808" customHeight="1" spans="1:12">
      <c r="A3808" s="7"/>
      <c r="B3808" s="7" t="s">
        <v>1014</v>
      </c>
      <c r="C3808" s="7" t="s">
        <v>863</v>
      </c>
      <c r="D3808" s="34">
        <f>材料预算价!K12-材料预算价!L12</f>
        <v>5.925</v>
      </c>
      <c r="E3808" s="38">
        <v>0</v>
      </c>
      <c r="F3808" s="69">
        <f>D3808*E3808</f>
        <v>0</v>
      </c>
      <c r="G3808" s="7"/>
      <c r="H3808" s="7" t="s">
        <v>1014</v>
      </c>
      <c r="I3808" s="7" t="s">
        <v>863</v>
      </c>
      <c r="J3808" s="34">
        <f>D3808</f>
        <v>5.925</v>
      </c>
      <c r="K3808" s="38">
        <v>0</v>
      </c>
      <c r="L3808" s="69">
        <f>J3808*K3808</f>
        <v>0</v>
      </c>
    </row>
    <row r="3809" customHeight="1" spans="1:12">
      <c r="A3809" s="7"/>
      <c r="B3809" s="7" t="s">
        <v>862</v>
      </c>
      <c r="C3809" s="9" t="s">
        <v>863</v>
      </c>
      <c r="D3809" s="34">
        <f>材料预算价!K11-材料预算价!L11</f>
        <v>4.58</v>
      </c>
      <c r="E3809" s="38">
        <f>(E3795*10.2)</f>
        <v>102</v>
      </c>
      <c r="F3809" s="69">
        <f>D3809*E3809</f>
        <v>467.16</v>
      </c>
      <c r="G3809" s="7"/>
      <c r="H3809" s="7" t="s">
        <v>862</v>
      </c>
      <c r="I3809" s="9" t="s">
        <v>863</v>
      </c>
      <c r="J3809" s="34">
        <f>D3809</f>
        <v>4.58</v>
      </c>
      <c r="K3809" s="38">
        <f>(K3795*10.2)</f>
        <v>188.7</v>
      </c>
      <c r="L3809" s="69">
        <f>J3809*K3809</f>
        <v>864.246</v>
      </c>
    </row>
    <row r="3810" customHeight="1" spans="1:12">
      <c r="A3810" s="7" t="s">
        <v>135</v>
      </c>
      <c r="B3810" s="7" t="s">
        <v>849</v>
      </c>
      <c r="C3810" s="231">
        <f>C3729</f>
        <v>0.09</v>
      </c>
      <c r="D3810" s="34"/>
      <c r="E3810" s="34">
        <f>F3801+F3800+F3799+F3784</f>
        <v>60280.0658138486</v>
      </c>
      <c r="F3810" s="34">
        <f>E3810*C3810</f>
        <v>5425.20592324637</v>
      </c>
      <c r="G3810" s="7" t="s">
        <v>135</v>
      </c>
      <c r="H3810" s="7" t="s">
        <v>849</v>
      </c>
      <c r="I3810" s="231">
        <f>I3729</f>
        <v>0.09</v>
      </c>
      <c r="J3810" s="34"/>
      <c r="K3810" s="34">
        <f>L3801+L3800+L3799+L3784</f>
        <v>79401.1947889909</v>
      </c>
      <c r="L3810" s="34">
        <f>K3810*I3810</f>
        <v>7146.10753100918</v>
      </c>
    </row>
    <row r="3811" customHeight="1" spans="1:12">
      <c r="A3811" s="7"/>
      <c r="B3811" s="7" t="s">
        <v>850</v>
      </c>
      <c r="C3811" s="231"/>
      <c r="D3811" s="34"/>
      <c r="E3811" s="34"/>
      <c r="F3811" s="34">
        <f>(F3784+F3799+F3800+F3801+F3810)*取费表!H4</f>
        <v>1971.15815211285</v>
      </c>
      <c r="G3811" s="7"/>
      <c r="H3811" s="7" t="s">
        <v>850</v>
      </c>
      <c r="I3811" s="231"/>
      <c r="J3811" s="34"/>
      <c r="K3811" s="34"/>
      <c r="L3811" s="34">
        <f>(L3784+L3799+L3800+L3801+L3810)*取费表!H12</f>
        <v>2596.4190696</v>
      </c>
    </row>
    <row r="3812" customHeight="1" spans="1:12">
      <c r="A3812" s="7"/>
      <c r="B3812" s="7" t="s">
        <v>156</v>
      </c>
      <c r="C3812" s="7"/>
      <c r="D3812" s="34"/>
      <c r="E3812" s="34"/>
      <c r="F3812" s="34">
        <f>F3810+E3810+F3811</f>
        <v>67676.4298892078</v>
      </c>
      <c r="G3812" s="7"/>
      <c r="H3812" s="7" t="s">
        <v>156</v>
      </c>
      <c r="I3812" s="7"/>
      <c r="J3812" s="34"/>
      <c r="K3812" s="34"/>
      <c r="L3812" s="34">
        <f>L3810+K3810+L3811</f>
        <v>89143.7213896</v>
      </c>
    </row>
    <row r="3813" customHeight="1" spans="1:12">
      <c r="A3813" s="7"/>
      <c r="B3813" s="7"/>
      <c r="C3813" s="7"/>
      <c r="D3813" s="34"/>
      <c r="E3813" s="34"/>
      <c r="F3813" s="34"/>
      <c r="G3813" s="7"/>
      <c r="H3813" s="7"/>
      <c r="I3813" s="7"/>
      <c r="J3813" s="34"/>
      <c r="K3813" s="34"/>
      <c r="L3813" s="34"/>
    </row>
    <row r="3814" customHeight="1" spans="1:12">
      <c r="A3814" s="7"/>
      <c r="B3814" s="7"/>
      <c r="C3814" s="7"/>
      <c r="D3814" s="34"/>
      <c r="E3814" s="34"/>
      <c r="F3814" s="34"/>
      <c r="G3814" s="7"/>
      <c r="H3814" s="7"/>
      <c r="I3814" s="7"/>
      <c r="J3814" s="34"/>
      <c r="K3814" s="34"/>
      <c r="L3814" s="34"/>
    </row>
    <row r="3815" customHeight="1" spans="1:12">
      <c r="A3815" s="7"/>
      <c r="B3815" s="7"/>
      <c r="C3815" s="7"/>
      <c r="D3815" s="34"/>
      <c r="E3815" s="34"/>
      <c r="F3815" s="34"/>
      <c r="G3815" s="7"/>
      <c r="H3815" s="7"/>
      <c r="I3815" s="7"/>
      <c r="J3815" s="34"/>
      <c r="K3815" s="34"/>
      <c r="L3815" s="34"/>
    </row>
    <row r="3816" customHeight="1" spans="1:12">
      <c r="A3816" s="7"/>
      <c r="B3816" s="7"/>
      <c r="C3816" s="7"/>
      <c r="D3816" s="34"/>
      <c r="E3816" s="34"/>
      <c r="F3816" s="34"/>
      <c r="G3816" s="7"/>
      <c r="H3816" s="7"/>
      <c r="I3816" s="7"/>
      <c r="J3816" s="34"/>
      <c r="K3816" s="34"/>
      <c r="L3816" s="34"/>
    </row>
    <row r="3817" customHeight="1" spans="1:6">
      <c r="A3817" s="248" t="s">
        <v>881</v>
      </c>
      <c r="B3817" s="225"/>
      <c r="C3817" s="225"/>
      <c r="D3817" s="225"/>
      <c r="E3817" s="225"/>
      <c r="F3817" s="225"/>
    </row>
    <row r="3818" customHeight="1" spans="1:6">
      <c r="A3818" s="278" t="s">
        <v>1230</v>
      </c>
      <c r="B3818" s="272"/>
      <c r="C3818" s="272"/>
      <c r="D3818" s="272"/>
      <c r="E3818" s="272"/>
      <c r="F3818" s="272"/>
    </row>
    <row r="3819" customHeight="1" spans="1:6">
      <c r="A3819" s="227" t="s">
        <v>1231</v>
      </c>
      <c r="B3819" s="228"/>
      <c r="C3819" s="272"/>
      <c r="D3819" s="272"/>
      <c r="E3819" s="228" t="s">
        <v>1221</v>
      </c>
      <c r="F3819" s="228"/>
    </row>
    <row r="3820" customHeight="1" spans="1:6">
      <c r="A3820" s="232" t="s">
        <v>1232</v>
      </c>
      <c r="B3820" s="233"/>
      <c r="C3820" s="233"/>
      <c r="D3820" s="233"/>
      <c r="E3820" s="233"/>
      <c r="F3820" s="147"/>
    </row>
    <row r="3821" customHeight="1" spans="1:6">
      <c r="A3821" s="7" t="s">
        <v>104</v>
      </c>
      <c r="B3821" s="7" t="s">
        <v>835</v>
      </c>
      <c r="C3821" s="7" t="s">
        <v>159</v>
      </c>
      <c r="D3821" s="7" t="s">
        <v>422</v>
      </c>
      <c r="E3821" s="7" t="s">
        <v>160</v>
      </c>
      <c r="F3821" s="7" t="s">
        <v>18</v>
      </c>
    </row>
    <row r="3822" customHeight="1" spans="1:6">
      <c r="A3822" s="7" t="s">
        <v>836</v>
      </c>
      <c r="B3822" s="7" t="s">
        <v>837</v>
      </c>
      <c r="C3822" s="7"/>
      <c r="D3822" s="7"/>
      <c r="E3822" s="7"/>
      <c r="F3822" s="34">
        <f>F3823+F3840+F3841</f>
        <v>52867.0099849174</v>
      </c>
    </row>
    <row r="3823" customHeight="1" spans="1:6">
      <c r="A3823" s="7" t="s">
        <v>539</v>
      </c>
      <c r="B3823" s="7" t="s">
        <v>838</v>
      </c>
      <c r="C3823" s="7"/>
      <c r="D3823" s="7"/>
      <c r="E3823" s="7"/>
      <c r="F3823" s="34">
        <f>F3824+F3827+F3835</f>
        <v>50445.6202146158</v>
      </c>
    </row>
    <row r="3824" customHeight="1" spans="1:6">
      <c r="A3824" s="7">
        <v>1</v>
      </c>
      <c r="B3824" s="7" t="s">
        <v>839</v>
      </c>
      <c r="C3824" s="7" t="s">
        <v>840</v>
      </c>
      <c r="D3824" s="34"/>
      <c r="E3824" s="69">
        <f>SUM(E3825:E3826)</f>
        <v>842</v>
      </c>
      <c r="F3824" s="69">
        <f>SUM(F3825:F3826)</f>
        <v>5643.55</v>
      </c>
    </row>
    <row r="3825" customHeight="1" spans="1:6">
      <c r="A3825" s="7"/>
      <c r="B3825" s="7" t="s">
        <v>841</v>
      </c>
      <c r="C3825" s="7" t="s">
        <v>840</v>
      </c>
      <c r="D3825" s="69">
        <f>D3749</f>
        <v>8.1</v>
      </c>
      <c r="E3825" s="69">
        <f>253+42*2</f>
        <v>337</v>
      </c>
      <c r="F3825" s="69">
        <f>D3825*E3825</f>
        <v>2729.7</v>
      </c>
    </row>
    <row r="3826" customHeight="1" spans="1:6">
      <c r="A3826" s="7"/>
      <c r="B3826" s="7" t="s">
        <v>842</v>
      </c>
      <c r="C3826" s="7" t="s">
        <v>840</v>
      </c>
      <c r="D3826" s="69">
        <f>D3750</f>
        <v>5.77</v>
      </c>
      <c r="E3826" s="69">
        <f>379+63*2</f>
        <v>505</v>
      </c>
      <c r="F3826" s="69">
        <f>D3826*E3826</f>
        <v>2913.85</v>
      </c>
    </row>
    <row r="3827" customHeight="1" spans="1:6">
      <c r="A3827" s="7">
        <v>2</v>
      </c>
      <c r="B3827" s="7" t="s">
        <v>912</v>
      </c>
      <c r="C3827" s="7"/>
      <c r="D3827" s="34"/>
      <c r="E3827" s="34"/>
      <c r="F3827" s="34">
        <f>SUM(F3828:F3834)</f>
        <v>42837.75681855</v>
      </c>
    </row>
    <row r="3828" customHeight="1" spans="1:6">
      <c r="A3828" s="7"/>
      <c r="B3828" s="273" t="s">
        <v>961</v>
      </c>
      <c r="C3828" s="7" t="s">
        <v>169</v>
      </c>
      <c r="D3828" s="34">
        <f>材料预算价!L7</f>
        <v>70</v>
      </c>
      <c r="E3828" s="34">
        <f>11+1.82</f>
        <v>12.82</v>
      </c>
      <c r="F3828" s="34">
        <f t="shared" ref="F3828:F3833" si="239">D3828*E3828</f>
        <v>897.4</v>
      </c>
    </row>
    <row r="3829" customHeight="1" spans="1:6">
      <c r="A3829" s="7"/>
      <c r="B3829" s="273" t="s">
        <v>996</v>
      </c>
      <c r="C3829" s="7" t="s">
        <v>169</v>
      </c>
      <c r="D3829" s="34">
        <f>材料预算价!K10</f>
        <v>2238.008025</v>
      </c>
      <c r="E3829" s="34">
        <f>0.1</f>
        <v>0.1</v>
      </c>
      <c r="F3829" s="34">
        <f t="shared" si="239"/>
        <v>223.8008025</v>
      </c>
    </row>
    <row r="3830" customHeight="1" spans="1:6">
      <c r="A3830" s="7"/>
      <c r="B3830" s="273" t="s">
        <v>960</v>
      </c>
      <c r="C3830" s="7" t="s">
        <v>169</v>
      </c>
      <c r="D3830" s="34">
        <f>材料预算价!L8</f>
        <v>70</v>
      </c>
      <c r="E3830" s="34">
        <f>62+10*2</f>
        <v>82</v>
      </c>
      <c r="F3830" s="34">
        <f t="shared" si="239"/>
        <v>5740</v>
      </c>
    </row>
    <row r="3831" customHeight="1" spans="1:6">
      <c r="A3831" s="7"/>
      <c r="B3831" s="273" t="s">
        <v>1233</v>
      </c>
      <c r="C3831" s="7" t="s">
        <v>200</v>
      </c>
      <c r="D3831" s="34">
        <v>35</v>
      </c>
      <c r="E3831" s="34">
        <f>3+0.48*2</f>
        <v>3.96</v>
      </c>
      <c r="F3831" s="34">
        <f t="shared" si="239"/>
        <v>138.6</v>
      </c>
    </row>
    <row r="3832" customHeight="1" spans="1:6">
      <c r="A3832" s="7"/>
      <c r="B3832" s="273" t="s">
        <v>1159</v>
      </c>
      <c r="C3832" s="7" t="s">
        <v>200</v>
      </c>
      <c r="D3832" s="34">
        <f>3650</f>
        <v>3650</v>
      </c>
      <c r="E3832" s="34">
        <f>7+1.16*2</f>
        <v>9.32</v>
      </c>
      <c r="F3832" s="34">
        <f t="shared" si="239"/>
        <v>34018</v>
      </c>
    </row>
    <row r="3833" customHeight="1" spans="1:6">
      <c r="A3833" s="7"/>
      <c r="B3833" s="273" t="s">
        <v>1234</v>
      </c>
      <c r="C3833" s="7" t="s">
        <v>169</v>
      </c>
      <c r="D3833" s="34">
        <f>35</f>
        <v>35</v>
      </c>
      <c r="E3833" s="34">
        <f>21+3.5*2</f>
        <v>28</v>
      </c>
      <c r="F3833" s="34">
        <f t="shared" si="239"/>
        <v>980</v>
      </c>
    </row>
    <row r="3834" customHeight="1" spans="1:6">
      <c r="A3834" s="7"/>
      <c r="B3834" s="7" t="s">
        <v>1004</v>
      </c>
      <c r="C3834" s="9" t="s">
        <v>845</v>
      </c>
      <c r="D3834" s="34">
        <f>SUM(F3828:F3833)</f>
        <v>41997.8008025</v>
      </c>
      <c r="E3834" s="34">
        <v>2</v>
      </c>
      <c r="F3834" s="34">
        <f>D3834*E3834/100</f>
        <v>839.95601605</v>
      </c>
    </row>
    <row r="3835" customHeight="1" spans="1:6">
      <c r="A3835" s="7">
        <v>3</v>
      </c>
      <c r="B3835" s="7" t="s">
        <v>859</v>
      </c>
      <c r="C3835" s="7"/>
      <c r="D3835" s="34"/>
      <c r="E3835" s="34"/>
      <c r="F3835" s="34">
        <f>SUM(F3836:F3839)</f>
        <v>1964.31339606582</v>
      </c>
    </row>
    <row r="3836" customHeight="1" spans="1:6">
      <c r="A3836" s="7"/>
      <c r="B3836" s="7" t="s">
        <v>1224</v>
      </c>
      <c r="C3836" s="7" t="s">
        <v>428</v>
      </c>
      <c r="D3836" s="34">
        <f>D3757</f>
        <v>63.5282110091743</v>
      </c>
      <c r="E3836" s="34">
        <v>7.5</v>
      </c>
      <c r="F3836" s="34">
        <f>D3836*E3836</f>
        <v>476.461582568807</v>
      </c>
    </row>
    <row r="3837" customHeight="1" spans="1:6">
      <c r="A3837" s="7"/>
      <c r="B3837" s="7" t="s">
        <v>1229</v>
      </c>
      <c r="C3837" s="7" t="s">
        <v>428</v>
      </c>
      <c r="D3837" s="34">
        <f>D3794</f>
        <v>23.9179521340247</v>
      </c>
      <c r="E3837" s="34">
        <f>13+2.17*2</f>
        <v>17.34</v>
      </c>
      <c r="F3837" s="34">
        <f>D3837*E3837</f>
        <v>414.737290003989</v>
      </c>
    </row>
    <row r="3838" customHeight="1" spans="1:6">
      <c r="A3838" s="7"/>
      <c r="B3838" s="7" t="s">
        <v>887</v>
      </c>
      <c r="C3838" s="7" t="s">
        <v>428</v>
      </c>
      <c r="D3838" s="34">
        <f>D3795</f>
        <v>73.10267092142</v>
      </c>
      <c r="E3838" s="34">
        <f>10+1.7*2</f>
        <v>13.4</v>
      </c>
      <c r="F3838" s="34">
        <f>D3838*E3838</f>
        <v>979.575790347028</v>
      </c>
    </row>
    <row r="3839" customHeight="1" spans="1:6">
      <c r="A3839" s="7"/>
      <c r="B3839" s="7" t="s">
        <v>918</v>
      </c>
      <c r="C3839" s="9" t="s">
        <v>845</v>
      </c>
      <c r="D3839" s="34">
        <f>SUM(F3836:F3838)</f>
        <v>1870.77466291982</v>
      </c>
      <c r="E3839" s="34">
        <v>5</v>
      </c>
      <c r="F3839" s="34">
        <f>D3839*E3839/100</f>
        <v>93.5387331459912</v>
      </c>
    </row>
    <row r="3840" customHeight="1" spans="1:6">
      <c r="A3840" s="7" t="s">
        <v>564</v>
      </c>
      <c r="B3840" s="7" t="s">
        <v>846</v>
      </c>
      <c r="C3840" s="230">
        <f>取费表!$C$7</f>
        <v>0.048</v>
      </c>
      <c r="D3840" s="34"/>
      <c r="E3840" s="34">
        <f>F3823</f>
        <v>50445.6202146158</v>
      </c>
      <c r="F3840" s="34">
        <f>E3840*C3840</f>
        <v>2421.38977030156</v>
      </c>
    </row>
    <row r="3841" customHeight="1" spans="1:6">
      <c r="A3841" s="7"/>
      <c r="B3841" s="7"/>
      <c r="C3841" s="230"/>
      <c r="D3841" s="34"/>
      <c r="E3841" s="34"/>
      <c r="F3841" s="34"/>
    </row>
    <row r="3842" customHeight="1" spans="1:6">
      <c r="A3842" s="7" t="s">
        <v>439</v>
      </c>
      <c r="B3842" s="7" t="s">
        <v>847</v>
      </c>
      <c r="C3842" s="230">
        <f>取费表!$E$7</f>
        <v>0.07</v>
      </c>
      <c r="D3842" s="34"/>
      <c r="E3842" s="34">
        <f>F3822</f>
        <v>52867.0099849174</v>
      </c>
      <c r="F3842" s="34">
        <f>E3842*C3842</f>
        <v>3700.69069894422</v>
      </c>
    </row>
    <row r="3843" customHeight="1" spans="1:6">
      <c r="A3843" s="7" t="s">
        <v>83</v>
      </c>
      <c r="B3843" s="7" t="s">
        <v>848</v>
      </c>
      <c r="C3843" s="230">
        <f>取费表!$F$7</f>
        <v>0.07</v>
      </c>
      <c r="D3843" s="34"/>
      <c r="E3843" s="34">
        <f>F3842+F3822</f>
        <v>56567.7006838616</v>
      </c>
      <c r="F3843" s="34">
        <f>E3843*C3843</f>
        <v>3959.73904787031</v>
      </c>
    </row>
    <row r="3844" customHeight="1" spans="1:6">
      <c r="A3844" s="5" t="s">
        <v>121</v>
      </c>
      <c r="B3844" s="5" t="s">
        <v>861</v>
      </c>
      <c r="C3844" s="275"/>
      <c r="D3844" s="276"/>
      <c r="E3844" s="5"/>
      <c r="F3844" s="277">
        <f>F3845+F3848</f>
        <v>3679.07705792</v>
      </c>
    </row>
    <row r="3845" customHeight="1" spans="1:6">
      <c r="A3845" s="7">
        <v>1</v>
      </c>
      <c r="B3845" s="7" t="s">
        <v>1011</v>
      </c>
      <c r="C3845" s="9"/>
      <c r="D3845" s="34"/>
      <c r="E3845" s="7"/>
      <c r="F3845" s="69">
        <f>SUM(F3846:F3847)</f>
        <v>2829.80765792</v>
      </c>
    </row>
    <row r="3846" customHeight="1" spans="1:6">
      <c r="A3846" s="7"/>
      <c r="B3846" s="7" t="s">
        <v>961</v>
      </c>
      <c r="C3846" s="7" t="s">
        <v>169</v>
      </c>
      <c r="D3846" s="34">
        <f>材料预算价!K7-材料预算价!L7</f>
        <v>34.366056</v>
      </c>
      <c r="E3846" s="38">
        <f>E3828</f>
        <v>12.82</v>
      </c>
      <c r="F3846" s="69">
        <f>E3846*D3846</f>
        <v>440.57283792</v>
      </c>
    </row>
    <row r="3847" customHeight="1" spans="1:6">
      <c r="A3847" s="7"/>
      <c r="B3847" s="7" t="s">
        <v>1012</v>
      </c>
      <c r="C3847" s="7" t="s">
        <v>169</v>
      </c>
      <c r="D3847" s="34">
        <f>材料预算价!K8-材料预算价!L8</f>
        <v>29.13701</v>
      </c>
      <c r="E3847" s="38">
        <f>E3830</f>
        <v>82</v>
      </c>
      <c r="F3847" s="69">
        <f>E3847*D3847</f>
        <v>2389.23482</v>
      </c>
    </row>
    <row r="3848" customHeight="1" spans="1:6">
      <c r="A3848" s="7">
        <v>2</v>
      </c>
      <c r="B3848" s="7" t="s">
        <v>1013</v>
      </c>
      <c r="C3848" s="7"/>
      <c r="D3848" s="34"/>
      <c r="E3848" s="38"/>
      <c r="F3848" s="69">
        <f>SUM(F3849:F3850)</f>
        <v>849.2694</v>
      </c>
    </row>
    <row r="3849" customHeight="1" spans="1:6">
      <c r="A3849" s="7"/>
      <c r="B3849" s="7" t="s">
        <v>1014</v>
      </c>
      <c r="C3849" s="7" t="s">
        <v>863</v>
      </c>
      <c r="D3849" s="34">
        <f>D3808</f>
        <v>5.925</v>
      </c>
      <c r="E3849" s="38">
        <v>0</v>
      </c>
      <c r="F3849" s="69">
        <f>D3849*E3849</f>
        <v>0</v>
      </c>
    </row>
    <row r="3850" customHeight="1" spans="1:6">
      <c r="A3850" s="7"/>
      <c r="B3850" s="7" t="s">
        <v>862</v>
      </c>
      <c r="C3850" s="9" t="s">
        <v>863</v>
      </c>
      <c r="D3850" s="34">
        <f>D3809</f>
        <v>4.58</v>
      </c>
      <c r="E3850" s="38">
        <f>(E3838*10.2+E3836*6.5)</f>
        <v>185.43</v>
      </c>
      <c r="F3850" s="69">
        <f>D3850*E3850</f>
        <v>849.2694</v>
      </c>
    </row>
    <row r="3851" customHeight="1" spans="1:6">
      <c r="A3851" s="7" t="s">
        <v>135</v>
      </c>
      <c r="B3851" s="7" t="s">
        <v>849</v>
      </c>
      <c r="C3851" s="231">
        <f>C3768</f>
        <v>0.09</v>
      </c>
      <c r="D3851" s="34"/>
      <c r="E3851" s="34">
        <f>F3844+F3843+F3842+F3822</f>
        <v>64206.5167896519</v>
      </c>
      <c r="F3851" s="34">
        <f>E3851*C3851</f>
        <v>5778.58651106867</v>
      </c>
    </row>
    <row r="3852" customHeight="1" spans="1:6">
      <c r="A3852" s="7"/>
      <c r="B3852" s="7" t="s">
        <v>850</v>
      </c>
      <c r="C3852" s="231"/>
      <c r="D3852" s="34"/>
      <c r="E3852" s="34"/>
      <c r="F3852" s="34">
        <f>(F3822+F3842+F3843+F3844+F3851)*取费表!H12</f>
        <v>2099.55309902162</v>
      </c>
    </row>
    <row r="3853" customHeight="1" spans="1:6">
      <c r="A3853" s="7"/>
      <c r="B3853" s="7" t="s">
        <v>156</v>
      </c>
      <c r="C3853" s="7"/>
      <c r="D3853" s="34"/>
      <c r="E3853" s="34"/>
      <c r="F3853" s="34">
        <f>F3851+E3851+F3852</f>
        <v>72084.6563997422</v>
      </c>
    </row>
    <row r="3854" customHeight="1" spans="1:6">
      <c r="A3854" s="7"/>
      <c r="B3854" s="7"/>
      <c r="C3854" s="7"/>
      <c r="D3854" s="34"/>
      <c r="E3854" s="34"/>
      <c r="F3854" s="34"/>
    </row>
    <row r="3855" customHeight="1" spans="1:6">
      <c r="A3855" s="248" t="s">
        <v>881</v>
      </c>
      <c r="B3855" s="225"/>
      <c r="C3855" s="225"/>
      <c r="D3855" s="225"/>
      <c r="E3855" s="225"/>
      <c r="F3855" s="225"/>
    </row>
    <row r="3856" customHeight="1" spans="1:6">
      <c r="A3856" s="278" t="s">
        <v>1235</v>
      </c>
      <c r="B3856" s="272"/>
      <c r="C3856" s="272"/>
      <c r="D3856" s="272"/>
      <c r="E3856" s="272"/>
      <c r="F3856" s="272"/>
    </row>
    <row r="3857" customHeight="1" spans="1:6">
      <c r="A3857" s="227" t="s">
        <v>1236</v>
      </c>
      <c r="B3857" s="227"/>
      <c r="C3857" s="272"/>
      <c r="D3857" s="272"/>
      <c r="E3857" s="228" t="s">
        <v>1221</v>
      </c>
      <c r="F3857" s="228"/>
    </row>
    <row r="3858" customHeight="1" spans="1:6">
      <c r="A3858" s="146" t="s">
        <v>1228</v>
      </c>
      <c r="B3858" s="233"/>
      <c r="C3858" s="233"/>
      <c r="D3858" s="233"/>
      <c r="E3858" s="233"/>
      <c r="F3858" s="147"/>
    </row>
    <row r="3859" customHeight="1" spans="1:6">
      <c r="A3859" s="7" t="s">
        <v>104</v>
      </c>
      <c r="B3859" s="7" t="s">
        <v>835</v>
      </c>
      <c r="C3859" s="7" t="s">
        <v>159</v>
      </c>
      <c r="D3859" s="7" t="s">
        <v>422</v>
      </c>
      <c r="E3859" s="7" t="s">
        <v>160</v>
      </c>
      <c r="F3859" s="7" t="s">
        <v>18</v>
      </c>
    </row>
    <row r="3860" customHeight="1" spans="1:6">
      <c r="A3860" s="7" t="s">
        <v>836</v>
      </c>
      <c r="B3860" s="7" t="s">
        <v>837</v>
      </c>
      <c r="C3860" s="7"/>
      <c r="D3860" s="7"/>
      <c r="E3860" s="7"/>
      <c r="F3860" s="34">
        <f>F3861+F3874+F3875</f>
        <v>16481.9653681745</v>
      </c>
    </row>
    <row r="3861" customHeight="1" spans="1:6">
      <c r="A3861" s="7" t="s">
        <v>539</v>
      </c>
      <c r="B3861" s="7" t="s">
        <v>838</v>
      </c>
      <c r="C3861" s="7"/>
      <c r="D3861" s="7"/>
      <c r="E3861" s="7"/>
      <c r="F3861" s="34">
        <f>F3862+F3865+F3871</f>
        <v>15727.0661910062</v>
      </c>
    </row>
    <row r="3862" customHeight="1" spans="1:6">
      <c r="A3862" s="7">
        <v>1</v>
      </c>
      <c r="B3862" s="7" t="s">
        <v>839</v>
      </c>
      <c r="C3862" s="7" t="s">
        <v>840</v>
      </c>
      <c r="D3862" s="297"/>
      <c r="E3862" s="69">
        <f>SUM(E3863:E3864)</f>
        <v>361</v>
      </c>
      <c r="F3862" s="69">
        <f>SUM(F3863:F3864)</f>
        <v>2416.16</v>
      </c>
    </row>
    <row r="3863" customHeight="1" spans="1:6">
      <c r="A3863" s="7"/>
      <c r="B3863" s="7" t="s">
        <v>841</v>
      </c>
      <c r="C3863" s="7" t="s">
        <v>840</v>
      </c>
      <c r="D3863" s="69">
        <f>D3749</f>
        <v>8.1</v>
      </c>
      <c r="E3863" s="254">
        <f>188-9*5</f>
        <v>143</v>
      </c>
      <c r="F3863" s="69">
        <f t="shared" ref="F3863:F3869" si="240">D3863*E3863</f>
        <v>1158.3</v>
      </c>
    </row>
    <row r="3864" customHeight="1" spans="1:6">
      <c r="A3864" s="7"/>
      <c r="B3864" s="7" t="s">
        <v>842</v>
      </c>
      <c r="C3864" s="7" t="s">
        <v>840</v>
      </c>
      <c r="D3864" s="69">
        <f>D3750</f>
        <v>5.77</v>
      </c>
      <c r="E3864" s="254">
        <f>283-13*5</f>
        <v>218</v>
      </c>
      <c r="F3864" s="69">
        <f t="shared" si="240"/>
        <v>1257.86</v>
      </c>
    </row>
    <row r="3865" customHeight="1" spans="1:6">
      <c r="A3865" s="7">
        <v>2</v>
      </c>
      <c r="B3865" s="7" t="s">
        <v>912</v>
      </c>
      <c r="C3865" s="7"/>
      <c r="D3865" s="34"/>
      <c r="E3865" s="34"/>
      <c r="F3865" s="34">
        <f>SUM(F3866:F3870)</f>
        <v>12662.9184387126</v>
      </c>
    </row>
    <row r="3866" customHeight="1" spans="1:6">
      <c r="A3866" s="7"/>
      <c r="B3866" s="7" t="s">
        <v>961</v>
      </c>
      <c r="C3866" s="7" t="s">
        <v>169</v>
      </c>
      <c r="D3866" s="34"/>
      <c r="E3866" s="34"/>
      <c r="F3866" s="34">
        <f t="shared" si="240"/>
        <v>0</v>
      </c>
    </row>
    <row r="3867" customHeight="1" spans="1:6">
      <c r="A3867" s="7"/>
      <c r="B3867" s="7" t="s">
        <v>1237</v>
      </c>
      <c r="C3867" s="7" t="s">
        <v>169</v>
      </c>
      <c r="D3867" s="34">
        <f>材料预算价!K14</f>
        <v>66.2217186407767</v>
      </c>
      <c r="E3867" s="34">
        <f>234-12*5</f>
        <v>174</v>
      </c>
      <c r="F3867" s="34">
        <f t="shared" si="240"/>
        <v>11522.5790434951</v>
      </c>
    </row>
    <row r="3868" customHeight="1" spans="1:6">
      <c r="A3868" s="7"/>
      <c r="B3868" s="7" t="s">
        <v>1238</v>
      </c>
      <c r="C3868" s="7" t="s">
        <v>169</v>
      </c>
      <c r="D3868" s="34">
        <v>10.55</v>
      </c>
      <c r="E3868" s="34">
        <f>59-2.6*5</f>
        <v>46</v>
      </c>
      <c r="F3868" s="34">
        <f t="shared" si="240"/>
        <v>485.3</v>
      </c>
    </row>
    <row r="3869" customHeight="1" spans="1:6">
      <c r="A3869" s="7"/>
      <c r="B3869" s="7" t="s">
        <v>1234</v>
      </c>
      <c r="C3869" s="7" t="s">
        <v>169</v>
      </c>
      <c r="D3869" s="34">
        <v>35</v>
      </c>
      <c r="E3869" s="34">
        <f>23-1.2*5</f>
        <v>17</v>
      </c>
      <c r="F3869" s="34">
        <f t="shared" si="240"/>
        <v>595</v>
      </c>
    </row>
    <row r="3870" customHeight="1" spans="1:6">
      <c r="A3870" s="7"/>
      <c r="B3870" s="7" t="s">
        <v>1004</v>
      </c>
      <c r="C3870" s="9" t="s">
        <v>845</v>
      </c>
      <c r="D3870" s="34">
        <f>SUM(F3866:F3868)</f>
        <v>12007.8790434951</v>
      </c>
      <c r="E3870" s="34">
        <v>0.5</v>
      </c>
      <c r="F3870" s="34">
        <f>D3870*E3870/100</f>
        <v>60.0393952174757</v>
      </c>
    </row>
    <row r="3871" customHeight="1" spans="1:6">
      <c r="A3871" s="7">
        <v>3</v>
      </c>
      <c r="B3871" s="7" t="s">
        <v>859</v>
      </c>
      <c r="C3871" s="7"/>
      <c r="D3871" s="34"/>
      <c r="E3871" s="34"/>
      <c r="F3871" s="34">
        <f>SUM(F3872:F3873)</f>
        <v>647.987752293578</v>
      </c>
    </row>
    <row r="3872" customHeight="1" spans="1:6">
      <c r="A3872" s="7"/>
      <c r="B3872" s="7" t="s">
        <v>1224</v>
      </c>
      <c r="C3872" s="7" t="s">
        <v>428</v>
      </c>
      <c r="D3872" s="34">
        <f>台时!D105</f>
        <v>63.5282110091743</v>
      </c>
      <c r="E3872" s="34">
        <v>10</v>
      </c>
      <c r="F3872" s="34">
        <f>D3872*E3872</f>
        <v>635.282110091743</v>
      </c>
    </row>
    <row r="3873" customHeight="1" spans="1:6">
      <c r="A3873" s="7"/>
      <c r="B3873" s="7" t="s">
        <v>918</v>
      </c>
      <c r="C3873" s="9" t="s">
        <v>845</v>
      </c>
      <c r="D3873" s="34">
        <f>F3872</f>
        <v>635.282110091743</v>
      </c>
      <c r="E3873" s="34">
        <v>2</v>
      </c>
      <c r="F3873" s="34">
        <f>D3873*E3873/100</f>
        <v>12.7056422018349</v>
      </c>
    </row>
    <row r="3874" customHeight="1" spans="1:6">
      <c r="A3874" s="7" t="s">
        <v>564</v>
      </c>
      <c r="B3874" s="7" t="s">
        <v>846</v>
      </c>
      <c r="C3874" s="230">
        <f>C3840</f>
        <v>0.048</v>
      </c>
      <c r="D3874" s="34"/>
      <c r="E3874" s="34">
        <f>F3861</f>
        <v>15727.0661910062</v>
      </c>
      <c r="F3874" s="34">
        <f>E3874*C3874</f>
        <v>754.899177168297</v>
      </c>
    </row>
    <row r="3875" customHeight="1" spans="1:6">
      <c r="A3875" s="7"/>
      <c r="B3875" s="7"/>
      <c r="C3875" s="231"/>
      <c r="D3875" s="34"/>
      <c r="E3875" s="34"/>
      <c r="F3875" s="34"/>
    </row>
    <row r="3876" customHeight="1" spans="1:6">
      <c r="A3876" s="7" t="s">
        <v>439</v>
      </c>
      <c r="B3876" s="7" t="s">
        <v>847</v>
      </c>
      <c r="C3876" s="231">
        <f>C3842</f>
        <v>0.07</v>
      </c>
      <c r="D3876" s="34"/>
      <c r="E3876" s="34">
        <f>F3860</f>
        <v>16481.9653681745</v>
      </c>
      <c r="F3876" s="34">
        <f>E3876*C3876</f>
        <v>1153.73757577221</v>
      </c>
    </row>
    <row r="3877" customHeight="1" spans="1:6">
      <c r="A3877" s="7" t="s">
        <v>83</v>
      </c>
      <c r="B3877" s="7" t="s">
        <v>848</v>
      </c>
      <c r="C3877" s="257">
        <f>C3843</f>
        <v>0.07</v>
      </c>
      <c r="D3877" s="34"/>
      <c r="E3877" s="34">
        <f>F3876+F3860</f>
        <v>17635.7029439467</v>
      </c>
      <c r="F3877" s="34">
        <f>E3877*C3877</f>
        <v>1234.49920607627</v>
      </c>
    </row>
    <row r="3878" customHeight="1" spans="1:6">
      <c r="A3878" s="5" t="s">
        <v>121</v>
      </c>
      <c r="B3878" s="5" t="s">
        <v>861</v>
      </c>
      <c r="C3878" s="275"/>
      <c r="D3878" s="276"/>
      <c r="E3878" s="5"/>
      <c r="F3878" s="277">
        <f>F3879</f>
        <v>297.7</v>
      </c>
    </row>
    <row r="3879" customHeight="1" spans="1:6">
      <c r="A3879" s="7">
        <v>1</v>
      </c>
      <c r="B3879" s="7" t="s">
        <v>1239</v>
      </c>
      <c r="C3879" s="7"/>
      <c r="D3879" s="34"/>
      <c r="E3879" s="38"/>
      <c r="F3879" s="69">
        <f>SUM(F3880:F3881)</f>
        <v>297.7</v>
      </c>
    </row>
    <row r="3880" customHeight="1" spans="1:6">
      <c r="A3880" s="7"/>
      <c r="B3880" s="7" t="s">
        <v>374</v>
      </c>
      <c r="C3880" s="7" t="s">
        <v>169</v>
      </c>
      <c r="D3880" s="34"/>
      <c r="E3880" s="38">
        <f>E3867</f>
        <v>174</v>
      </c>
      <c r="F3880" s="69">
        <f>D3880*E3880</f>
        <v>0</v>
      </c>
    </row>
    <row r="3881" customHeight="1" spans="1:6">
      <c r="A3881" s="7"/>
      <c r="B3881" s="7" t="s">
        <v>862</v>
      </c>
      <c r="C3881" s="9" t="s">
        <v>863</v>
      </c>
      <c r="D3881" s="34">
        <f>D3767</f>
        <v>4.58</v>
      </c>
      <c r="E3881" s="38">
        <f>(E3872*6.5)</f>
        <v>65</v>
      </c>
      <c r="F3881" s="69">
        <f>D3881*E3881</f>
        <v>297.7</v>
      </c>
    </row>
    <row r="3882" customHeight="1" spans="1:6">
      <c r="A3882" s="7" t="s">
        <v>135</v>
      </c>
      <c r="B3882" s="7" t="s">
        <v>849</v>
      </c>
      <c r="C3882" s="231">
        <f>C3851</f>
        <v>0.09</v>
      </c>
      <c r="D3882" s="34"/>
      <c r="E3882" s="34">
        <f>F3878+F3877+F3876+F3860</f>
        <v>19167.902150023</v>
      </c>
      <c r="F3882" s="34">
        <f>E3882*C3882</f>
        <v>1725.11119350207</v>
      </c>
    </row>
    <row r="3883" customHeight="1" spans="1:6">
      <c r="A3883" s="7"/>
      <c r="B3883" s="7" t="s">
        <v>850</v>
      </c>
      <c r="C3883" s="231"/>
      <c r="D3883" s="34"/>
      <c r="E3883" s="34"/>
      <c r="F3883" s="34">
        <f>(F3860+F3876+F3877+F3878+F3882)*取费表!H12</f>
        <v>626.790400305752</v>
      </c>
    </row>
    <row r="3884" customHeight="1" spans="1:6">
      <c r="A3884" s="7"/>
      <c r="B3884" s="7" t="s">
        <v>156</v>
      </c>
      <c r="C3884" s="7"/>
      <c r="D3884" s="34"/>
      <c r="E3884" s="34"/>
      <c r="F3884" s="34">
        <f>F3882+E3882+F3883</f>
        <v>21519.8037438308</v>
      </c>
    </row>
    <row r="3885" customHeight="1" spans="1:6">
      <c r="A3885" s="7"/>
      <c r="B3885" s="7"/>
      <c r="C3885" s="7"/>
      <c r="D3885" s="34"/>
      <c r="E3885" s="34"/>
      <c r="F3885" s="34"/>
    </row>
    <row r="3886" customHeight="1" spans="1:6">
      <c r="A3886" s="7"/>
      <c r="B3886" s="7"/>
      <c r="C3886" s="7"/>
      <c r="D3886" s="34"/>
      <c r="E3886" s="34"/>
      <c r="F3886" s="34"/>
    </row>
    <row r="3887" customHeight="1" spans="1:6">
      <c r="A3887" s="7"/>
      <c r="B3887" s="7"/>
      <c r="C3887" s="7"/>
      <c r="D3887" s="34"/>
      <c r="E3887" s="34"/>
      <c r="F3887" s="34"/>
    </row>
    <row r="3888" customHeight="1" spans="1:6">
      <c r="A3888" s="7"/>
      <c r="B3888" s="7"/>
      <c r="C3888" s="7"/>
      <c r="D3888" s="34"/>
      <c r="E3888" s="34"/>
      <c r="F3888" s="34"/>
    </row>
    <row r="3889" customHeight="1" spans="1:6">
      <c r="A3889" s="7"/>
      <c r="B3889" s="7"/>
      <c r="C3889" s="7"/>
      <c r="D3889" s="34"/>
      <c r="E3889" s="34"/>
      <c r="F3889" s="34"/>
    </row>
    <row r="3890" customHeight="1" spans="1:6">
      <c r="A3890" s="7"/>
      <c r="B3890" s="7"/>
      <c r="C3890" s="7"/>
      <c r="D3890" s="34"/>
      <c r="E3890" s="34"/>
      <c r="F3890" s="34"/>
    </row>
    <row r="3891" customHeight="1" spans="1:6">
      <c r="A3891" s="7"/>
      <c r="B3891" s="7"/>
      <c r="C3891" s="7"/>
      <c r="D3891" s="34"/>
      <c r="E3891" s="34"/>
      <c r="F3891" s="34"/>
    </row>
    <row r="3892" customHeight="1" spans="1:6">
      <c r="A3892" s="7"/>
      <c r="B3892" s="7"/>
      <c r="C3892" s="7"/>
      <c r="D3892" s="34"/>
      <c r="E3892" s="34"/>
      <c r="F3892" s="34"/>
    </row>
    <row r="3893" ht="15.95" customHeight="1" spans="1:6">
      <c r="A3893" s="322" t="s">
        <v>1240</v>
      </c>
      <c r="B3893" s="322"/>
      <c r="C3893" s="322"/>
      <c r="D3893" s="322"/>
      <c r="E3893" s="322"/>
      <c r="F3893" s="322"/>
    </row>
    <row r="3894" ht="15.95" customHeight="1" spans="1:6">
      <c r="A3894" s="271" t="s">
        <v>1241</v>
      </c>
      <c r="B3894" s="296"/>
      <c r="C3894" s="296"/>
      <c r="D3894" s="296"/>
      <c r="E3894" s="296"/>
      <c r="F3894" s="296"/>
    </row>
    <row r="3895" ht="15.95" customHeight="1" spans="1:6">
      <c r="A3895" s="323" t="s">
        <v>1242</v>
      </c>
      <c r="B3895" s="229"/>
      <c r="C3895" s="272"/>
      <c r="D3895" s="272"/>
      <c r="E3895" s="229" t="s">
        <v>1243</v>
      </c>
      <c r="F3895" s="229"/>
    </row>
    <row r="3896" ht="15.95" customHeight="1" spans="1:6">
      <c r="A3896" s="11" t="s">
        <v>959</v>
      </c>
      <c r="B3896" s="7"/>
      <c r="C3896" s="11"/>
      <c r="D3896" s="11"/>
      <c r="E3896" s="11"/>
      <c r="F3896" s="11"/>
    </row>
    <row r="3897" ht="15.95" customHeight="1" spans="1:6">
      <c r="A3897" s="7" t="s">
        <v>104</v>
      </c>
      <c r="B3897" s="7" t="s">
        <v>835</v>
      </c>
      <c r="C3897" s="7" t="s">
        <v>159</v>
      </c>
      <c r="D3897" s="7" t="s">
        <v>422</v>
      </c>
      <c r="E3897" s="7" t="s">
        <v>160</v>
      </c>
      <c r="F3897" s="7" t="s">
        <v>18</v>
      </c>
    </row>
    <row r="3898" ht="15.95" customHeight="1" spans="1:6">
      <c r="A3898" s="7" t="s">
        <v>836</v>
      </c>
      <c r="B3898" s="7" t="s">
        <v>837</v>
      </c>
      <c r="C3898" s="7"/>
      <c r="D3898" s="7"/>
      <c r="E3898" s="7"/>
      <c r="F3898" s="247">
        <f>F3899+F3900+F3901</f>
        <v>19.912</v>
      </c>
    </row>
    <row r="3899" ht="15.95" customHeight="1" spans="1:6">
      <c r="A3899" s="7" t="s">
        <v>539</v>
      </c>
      <c r="B3899" s="7" t="s">
        <v>838</v>
      </c>
      <c r="C3899" s="7"/>
      <c r="D3899" s="7"/>
      <c r="E3899" s="7"/>
      <c r="F3899" s="69">
        <v>19</v>
      </c>
    </row>
    <row r="3900" ht="15.95" customHeight="1" spans="1:6">
      <c r="A3900" s="7" t="s">
        <v>564</v>
      </c>
      <c r="B3900" s="7" t="s">
        <v>846</v>
      </c>
      <c r="C3900" s="230">
        <f>取费表!$C$7</f>
        <v>0.048</v>
      </c>
      <c r="D3900" s="7"/>
      <c r="E3900" s="69">
        <f>F3899</f>
        <v>19</v>
      </c>
      <c r="F3900" s="69">
        <f>E3900*C3900</f>
        <v>0.912</v>
      </c>
    </row>
    <row r="3901" ht="15.95" customHeight="1" spans="1:6">
      <c r="A3901" s="7"/>
      <c r="B3901" s="7"/>
      <c r="C3901" s="230"/>
      <c r="D3901" s="7"/>
      <c r="E3901" s="69"/>
      <c r="F3901" s="69"/>
    </row>
    <row r="3902" ht="15.95" customHeight="1" spans="1:6">
      <c r="A3902" s="7" t="s">
        <v>439</v>
      </c>
      <c r="B3902" s="7" t="s">
        <v>847</v>
      </c>
      <c r="C3902" s="230">
        <f>取费表!$E$7</f>
        <v>0.07</v>
      </c>
      <c r="D3902" s="7"/>
      <c r="E3902" s="247">
        <f>F3898</f>
        <v>19.912</v>
      </c>
      <c r="F3902" s="69">
        <f>E3902*C3902</f>
        <v>1.39384</v>
      </c>
    </row>
    <row r="3903" ht="15.95" customHeight="1" spans="1:6">
      <c r="A3903" s="7" t="s">
        <v>83</v>
      </c>
      <c r="B3903" s="7" t="s">
        <v>848</v>
      </c>
      <c r="C3903" s="230">
        <f>取费表!$F$7</f>
        <v>0.07</v>
      </c>
      <c r="D3903" s="7"/>
      <c r="E3903" s="247">
        <f>F3902+F3898</f>
        <v>21.30584</v>
      </c>
      <c r="F3903" s="69">
        <f>E3903*C3903</f>
        <v>1.4914088</v>
      </c>
    </row>
    <row r="3904" ht="15.95" customHeight="1" spans="1:6">
      <c r="A3904" s="7" t="s">
        <v>121</v>
      </c>
      <c r="B3904" s="7" t="s">
        <v>849</v>
      </c>
      <c r="C3904" s="53">
        <f>C3810</f>
        <v>0.09</v>
      </c>
      <c r="D3904" s="7"/>
      <c r="E3904" s="34">
        <f>F3903+F3902+F3898</f>
        <v>22.7972488</v>
      </c>
      <c r="F3904" s="69">
        <f>E3904*C3904</f>
        <v>2.051752392</v>
      </c>
    </row>
    <row r="3905" ht="15.95" customHeight="1" spans="1:6">
      <c r="A3905" s="7"/>
      <c r="B3905" s="7" t="s">
        <v>850</v>
      </c>
      <c r="C3905" s="53"/>
      <c r="D3905" s="7"/>
      <c r="E3905" s="34"/>
      <c r="F3905" s="69">
        <f>(F3898+F3902+F3903+F3904)*取费表!H4</f>
        <v>0.74547003576</v>
      </c>
    </row>
    <row r="3906" ht="15.95" customHeight="1" spans="1:6">
      <c r="A3906" s="7"/>
      <c r="B3906" s="7" t="s">
        <v>156</v>
      </c>
      <c r="C3906" s="7"/>
      <c r="D3906" s="7"/>
      <c r="E3906" s="7"/>
      <c r="F3906" s="69">
        <f>E3904+F3904+F3905</f>
        <v>25.59447122776</v>
      </c>
    </row>
    <row r="3907" ht="15.95" customHeight="1" spans="1:6">
      <c r="A3907" s="322" t="s">
        <v>1240</v>
      </c>
      <c r="B3907" s="322"/>
      <c r="C3907" s="322"/>
      <c r="D3907" s="322"/>
      <c r="E3907" s="322"/>
      <c r="F3907" s="322"/>
    </row>
    <row r="3908" ht="15.95" customHeight="1" spans="1:6">
      <c r="A3908" s="296" t="s">
        <v>1244</v>
      </c>
      <c r="B3908" s="296"/>
      <c r="C3908" s="296"/>
      <c r="D3908" s="296"/>
      <c r="E3908" s="296"/>
      <c r="F3908" s="296"/>
    </row>
    <row r="3909" ht="15.95" customHeight="1" spans="1:6">
      <c r="A3909" s="323" t="s">
        <v>1242</v>
      </c>
      <c r="B3909" s="229"/>
      <c r="C3909" s="272"/>
      <c r="D3909" s="272"/>
      <c r="E3909" s="229" t="s">
        <v>1243</v>
      </c>
      <c r="F3909" s="229"/>
    </row>
    <row r="3910" ht="15.95" customHeight="1" spans="1:6">
      <c r="A3910" s="11" t="s">
        <v>959</v>
      </c>
      <c r="B3910" s="7"/>
      <c r="C3910" s="11"/>
      <c r="D3910" s="11"/>
      <c r="E3910" s="11"/>
      <c r="F3910" s="11"/>
    </row>
    <row r="3911" ht="15.95" customHeight="1" spans="1:6">
      <c r="A3911" s="7" t="s">
        <v>104</v>
      </c>
      <c r="B3911" s="7" t="s">
        <v>835</v>
      </c>
      <c r="C3911" s="7" t="s">
        <v>159</v>
      </c>
      <c r="D3911" s="7" t="s">
        <v>422</v>
      </c>
      <c r="E3911" s="7" t="s">
        <v>160</v>
      </c>
      <c r="F3911" s="7" t="s">
        <v>18</v>
      </c>
    </row>
    <row r="3912" ht="15.95" customHeight="1" spans="1:6">
      <c r="A3912" s="7" t="s">
        <v>836</v>
      </c>
      <c r="B3912" s="7" t="s">
        <v>837</v>
      </c>
      <c r="C3912" s="7"/>
      <c r="D3912" s="7"/>
      <c r="E3912" s="7"/>
      <c r="F3912" s="247">
        <f>F3913+F3914+F3915</f>
        <v>8.8556</v>
      </c>
    </row>
    <row r="3913" ht="15.95" customHeight="1" spans="1:6">
      <c r="A3913" s="7" t="s">
        <v>539</v>
      </c>
      <c r="B3913" s="7" t="s">
        <v>838</v>
      </c>
      <c r="C3913" s="7"/>
      <c r="D3913" s="7"/>
      <c r="E3913" s="7"/>
      <c r="F3913" s="69">
        <v>8.45</v>
      </c>
    </row>
    <row r="3914" ht="15.95" customHeight="1" spans="1:6">
      <c r="A3914" s="7" t="s">
        <v>564</v>
      </c>
      <c r="B3914" s="7" t="s">
        <v>846</v>
      </c>
      <c r="C3914" s="230">
        <f>取费表!$C$7</f>
        <v>0.048</v>
      </c>
      <c r="D3914" s="7"/>
      <c r="E3914" s="69">
        <f>F3913</f>
        <v>8.45</v>
      </c>
      <c r="F3914" s="69">
        <f>E3914*C3914</f>
        <v>0.4056</v>
      </c>
    </row>
    <row r="3915" ht="15.95" customHeight="1" spans="1:6">
      <c r="A3915" s="7"/>
      <c r="B3915" s="7"/>
      <c r="C3915" s="230"/>
      <c r="D3915" s="7"/>
      <c r="E3915" s="69"/>
      <c r="F3915" s="69"/>
    </row>
    <row r="3916" ht="15.95" customHeight="1" spans="1:6">
      <c r="A3916" s="7" t="s">
        <v>439</v>
      </c>
      <c r="B3916" s="7" t="s">
        <v>847</v>
      </c>
      <c r="C3916" s="230">
        <f>取费表!$E$7</f>
        <v>0.07</v>
      </c>
      <c r="D3916" s="7"/>
      <c r="E3916" s="247">
        <f>F3912</f>
        <v>8.8556</v>
      </c>
      <c r="F3916" s="69">
        <f>E3916*C3916</f>
        <v>0.619892</v>
      </c>
    </row>
    <row r="3917" ht="19.5" customHeight="1" spans="1:6">
      <c r="A3917" s="7" t="s">
        <v>83</v>
      </c>
      <c r="B3917" s="7" t="s">
        <v>848</v>
      </c>
      <c r="C3917" s="230">
        <f>取费表!$F$7</f>
        <v>0.07</v>
      </c>
      <c r="D3917" s="7"/>
      <c r="E3917" s="247">
        <f>F3916+F3912</f>
        <v>9.475492</v>
      </c>
      <c r="F3917" s="69">
        <f>E3917*C3917</f>
        <v>0.66328444</v>
      </c>
    </row>
    <row r="3918" ht="15.95" customHeight="1" spans="1:6">
      <c r="A3918" s="7" t="s">
        <v>121</v>
      </c>
      <c r="B3918" s="7" t="s">
        <v>849</v>
      </c>
      <c r="C3918" s="53">
        <f>C3904</f>
        <v>0.09</v>
      </c>
      <c r="D3918" s="7"/>
      <c r="E3918" s="34">
        <f>F3917+F3916+F3912</f>
        <v>10.13877644</v>
      </c>
      <c r="F3918" s="69">
        <f>E3918*C3918</f>
        <v>0.9124898796</v>
      </c>
    </row>
    <row r="3919" ht="19.5" customHeight="1" spans="1:6">
      <c r="A3919" s="7"/>
      <c r="B3919" s="7" t="s">
        <v>850</v>
      </c>
      <c r="C3919" s="53"/>
      <c r="D3919" s="7"/>
      <c r="E3919" s="34"/>
      <c r="F3919" s="69">
        <f>(F3912+F3916+F3917+F3918)*取费表!H4</f>
        <v>0.331537989588</v>
      </c>
    </row>
    <row r="3920" ht="15.95" customHeight="1" spans="1:6">
      <c r="A3920" s="7"/>
      <c r="B3920" s="7" t="s">
        <v>156</v>
      </c>
      <c r="C3920" s="7"/>
      <c r="D3920" s="7"/>
      <c r="E3920" s="7"/>
      <c r="F3920" s="69">
        <f>E3918+F3918+F3919</f>
        <v>11.382804309188</v>
      </c>
    </row>
    <row r="3921" ht="15.95" customHeight="1" spans="1:6">
      <c r="A3921" s="322" t="s">
        <v>1240</v>
      </c>
      <c r="B3921" s="322"/>
      <c r="C3921" s="322"/>
      <c r="D3921" s="322"/>
      <c r="E3921" s="322"/>
      <c r="F3921" s="322"/>
    </row>
    <row r="3922" ht="19.5" customHeight="1" spans="1:6">
      <c r="A3922" s="296" t="s">
        <v>1245</v>
      </c>
      <c r="B3922" s="296"/>
      <c r="C3922" s="296"/>
      <c r="D3922" s="296"/>
      <c r="E3922" s="296"/>
      <c r="F3922" s="296"/>
    </row>
    <row r="3923" ht="15.95" customHeight="1" spans="1:6">
      <c r="A3923" s="323" t="s">
        <v>1242</v>
      </c>
      <c r="B3923" s="229"/>
      <c r="C3923" s="272"/>
      <c r="D3923" s="272"/>
      <c r="E3923" s="229" t="s">
        <v>1243</v>
      </c>
      <c r="F3923" s="229"/>
    </row>
    <row r="3924" ht="15.95" customHeight="1" spans="1:6">
      <c r="A3924" s="11" t="s">
        <v>959</v>
      </c>
      <c r="B3924" s="7"/>
      <c r="C3924" s="11"/>
      <c r="D3924" s="11"/>
      <c r="E3924" s="11"/>
      <c r="F3924" s="11"/>
    </row>
    <row r="3925" ht="15.95" customHeight="1" spans="1:6">
      <c r="A3925" s="7" t="s">
        <v>104</v>
      </c>
      <c r="B3925" s="7" t="s">
        <v>835</v>
      </c>
      <c r="C3925" s="7" t="s">
        <v>159</v>
      </c>
      <c r="D3925" s="7" t="s">
        <v>422</v>
      </c>
      <c r="E3925" s="7" t="s">
        <v>160</v>
      </c>
      <c r="F3925" s="7" t="s">
        <v>18</v>
      </c>
    </row>
    <row r="3926" ht="15.95" customHeight="1" spans="1:6">
      <c r="A3926" s="7" t="s">
        <v>836</v>
      </c>
      <c r="B3926" s="7" t="s">
        <v>837</v>
      </c>
      <c r="C3926" s="7"/>
      <c r="D3926" s="7"/>
      <c r="E3926" s="7"/>
      <c r="F3926" s="247">
        <f>F3927+F3928+F3929</f>
        <v>38.776</v>
      </c>
    </row>
    <row r="3927" ht="15.95" customHeight="1" spans="1:6">
      <c r="A3927" s="7" t="s">
        <v>539</v>
      </c>
      <c r="B3927" s="7" t="s">
        <v>838</v>
      </c>
      <c r="C3927" s="7"/>
      <c r="D3927" s="7"/>
      <c r="E3927" s="7"/>
      <c r="F3927" s="69">
        <v>37</v>
      </c>
    </row>
    <row r="3928" ht="15.95" customHeight="1" spans="1:6">
      <c r="A3928" s="7" t="s">
        <v>564</v>
      </c>
      <c r="B3928" s="7" t="s">
        <v>846</v>
      </c>
      <c r="C3928" s="230">
        <f>取费表!$C$7</f>
        <v>0.048</v>
      </c>
      <c r="D3928" s="7"/>
      <c r="E3928" s="69">
        <f>F3927</f>
        <v>37</v>
      </c>
      <c r="F3928" s="69">
        <f>E3928*C3928</f>
        <v>1.776</v>
      </c>
    </row>
    <row r="3929" ht="15.95" customHeight="1" spans="1:6">
      <c r="A3929" s="7"/>
      <c r="B3929" s="7"/>
      <c r="C3929" s="230"/>
      <c r="D3929" s="7"/>
      <c r="E3929" s="69"/>
      <c r="F3929" s="69"/>
    </row>
    <row r="3930" ht="15.95" customHeight="1" spans="1:6">
      <c r="A3930" s="7" t="s">
        <v>439</v>
      </c>
      <c r="B3930" s="7" t="s">
        <v>847</v>
      </c>
      <c r="C3930" s="230">
        <f>取费表!$E$7</f>
        <v>0.07</v>
      </c>
      <c r="D3930" s="7"/>
      <c r="E3930" s="247">
        <f>F3926</f>
        <v>38.776</v>
      </c>
      <c r="F3930" s="69">
        <f>E3930*C3930</f>
        <v>2.71432</v>
      </c>
    </row>
    <row r="3931" ht="15.95" customHeight="1" spans="1:6">
      <c r="A3931" s="7" t="s">
        <v>83</v>
      </c>
      <c r="B3931" s="7" t="s">
        <v>848</v>
      </c>
      <c r="C3931" s="230">
        <f>取费表!$F$7</f>
        <v>0.07</v>
      </c>
      <c r="D3931" s="7"/>
      <c r="E3931" s="247">
        <f>F3930+F3926</f>
        <v>41.49032</v>
      </c>
      <c r="F3931" s="69">
        <f>E3931*C3931</f>
        <v>2.9043224</v>
      </c>
    </row>
    <row r="3932" ht="15.95" customHeight="1" spans="1:6">
      <c r="A3932" s="7" t="s">
        <v>121</v>
      </c>
      <c r="B3932" s="7" t="s">
        <v>849</v>
      </c>
      <c r="C3932" s="53">
        <f>C3918</f>
        <v>0.09</v>
      </c>
      <c r="D3932" s="7"/>
      <c r="E3932" s="34">
        <f>F3931+F3930+F3926</f>
        <v>44.3946424</v>
      </c>
      <c r="F3932" s="69">
        <f>E3932*C3932</f>
        <v>3.995517816</v>
      </c>
    </row>
    <row r="3933" ht="15.95" customHeight="1" spans="1:6">
      <c r="A3933" s="7"/>
      <c r="B3933" s="7" t="s">
        <v>850</v>
      </c>
      <c r="C3933" s="53"/>
      <c r="D3933" s="7"/>
      <c r="E3933" s="34"/>
      <c r="F3933" s="69">
        <f>(F3926+F3930+F3931+F3932)*取费表!H4</f>
        <v>1.45170480648</v>
      </c>
    </row>
    <row r="3934" ht="18.75" customHeight="1" spans="1:6">
      <c r="A3934" s="7"/>
      <c r="B3934" s="7" t="s">
        <v>156</v>
      </c>
      <c r="C3934" s="7"/>
      <c r="D3934" s="7"/>
      <c r="E3934" s="7"/>
      <c r="F3934" s="69">
        <f>E3932+F3932+F3933</f>
        <v>49.84186502248</v>
      </c>
    </row>
    <row r="3935" ht="18.75" customHeight="1" spans="1:6">
      <c r="A3935" s="322" t="s">
        <v>1240</v>
      </c>
      <c r="B3935" s="322"/>
      <c r="C3935" s="322"/>
      <c r="D3935" s="322"/>
      <c r="E3935" s="322"/>
      <c r="F3935" s="322"/>
    </row>
    <row r="3936" ht="18.75" customHeight="1" spans="1:6">
      <c r="A3936" s="296" t="s">
        <v>1246</v>
      </c>
      <c r="B3936" s="296"/>
      <c r="C3936" s="296"/>
      <c r="D3936" s="296"/>
      <c r="E3936" s="296"/>
      <c r="F3936" s="296"/>
    </row>
    <row r="3937" ht="18.75" customHeight="1" spans="1:6">
      <c r="A3937" s="323" t="s">
        <v>1242</v>
      </c>
      <c r="B3937" s="229"/>
      <c r="C3937" s="272"/>
      <c r="D3937" s="272"/>
      <c r="E3937" s="229" t="s">
        <v>1243</v>
      </c>
      <c r="F3937" s="229"/>
    </row>
    <row r="3938" ht="18.75" customHeight="1" spans="1:6">
      <c r="A3938" s="11" t="s">
        <v>959</v>
      </c>
      <c r="B3938" s="7"/>
      <c r="C3938" s="11"/>
      <c r="D3938" s="11"/>
      <c r="E3938" s="11"/>
      <c r="F3938" s="11"/>
    </row>
    <row r="3939" ht="18.75" customHeight="1" spans="1:6">
      <c r="A3939" s="7" t="s">
        <v>104</v>
      </c>
      <c r="B3939" s="7" t="s">
        <v>835</v>
      </c>
      <c r="C3939" s="7" t="s">
        <v>159</v>
      </c>
      <c r="D3939" s="7" t="s">
        <v>422</v>
      </c>
      <c r="E3939" s="7" t="s">
        <v>160</v>
      </c>
      <c r="F3939" s="7" t="s">
        <v>18</v>
      </c>
    </row>
    <row r="3940" ht="18.75" customHeight="1" spans="1:6">
      <c r="A3940" s="7" t="s">
        <v>836</v>
      </c>
      <c r="B3940" s="7" t="s">
        <v>837</v>
      </c>
      <c r="C3940" s="7"/>
      <c r="D3940" s="7"/>
      <c r="E3940" s="7"/>
      <c r="F3940" s="247">
        <f>F3941+F3942+F3943</f>
        <v>1.2052</v>
      </c>
    </row>
    <row r="3941" ht="18.75" customHeight="1" spans="1:6">
      <c r="A3941" s="7" t="s">
        <v>539</v>
      </c>
      <c r="B3941" s="7" t="s">
        <v>838</v>
      </c>
      <c r="C3941" s="7"/>
      <c r="D3941" s="7"/>
      <c r="E3941" s="7"/>
      <c r="F3941" s="69">
        <v>1.15</v>
      </c>
    </row>
    <row r="3942" ht="18.75" customHeight="1" spans="1:6">
      <c r="A3942" s="7" t="s">
        <v>564</v>
      </c>
      <c r="B3942" s="7" t="s">
        <v>846</v>
      </c>
      <c r="C3942" s="230">
        <f>取费表!$C$7</f>
        <v>0.048</v>
      </c>
      <c r="D3942" s="7"/>
      <c r="E3942" s="69">
        <f>F3941</f>
        <v>1.15</v>
      </c>
      <c r="F3942" s="69">
        <f>E3942*C3942</f>
        <v>0.0552</v>
      </c>
    </row>
    <row r="3943" ht="18.75" customHeight="1" spans="1:6">
      <c r="A3943" s="7"/>
      <c r="B3943" s="7"/>
      <c r="C3943" s="230"/>
      <c r="D3943" s="7"/>
      <c r="E3943" s="69"/>
      <c r="F3943" s="69"/>
    </row>
    <row r="3944" ht="18.75" customHeight="1" spans="1:6">
      <c r="A3944" s="7" t="s">
        <v>439</v>
      </c>
      <c r="B3944" s="7" t="s">
        <v>847</v>
      </c>
      <c r="C3944" s="230">
        <f>取费表!$E$7</f>
        <v>0.07</v>
      </c>
      <c r="D3944" s="7"/>
      <c r="E3944" s="247">
        <f>F3940</f>
        <v>1.2052</v>
      </c>
      <c r="F3944" s="69">
        <f>E3944*C3944</f>
        <v>0.084364</v>
      </c>
    </row>
    <row r="3945" ht="18.75" customHeight="1" spans="1:6">
      <c r="A3945" s="7" t="s">
        <v>83</v>
      </c>
      <c r="B3945" s="7" t="s">
        <v>848</v>
      </c>
      <c r="C3945" s="230">
        <f>取费表!$F$7</f>
        <v>0.07</v>
      </c>
      <c r="D3945" s="7"/>
      <c r="E3945" s="247">
        <f>F3944+F3940</f>
        <v>1.289564</v>
      </c>
      <c r="F3945" s="69">
        <f>E3945*C3945</f>
        <v>0.09026948</v>
      </c>
    </row>
    <row r="3946" ht="18.75" customHeight="1" spans="1:6">
      <c r="A3946" s="7" t="s">
        <v>121</v>
      </c>
      <c r="B3946" s="7" t="s">
        <v>849</v>
      </c>
      <c r="C3946" s="53">
        <f>C3932</f>
        <v>0.09</v>
      </c>
      <c r="D3946" s="7"/>
      <c r="E3946" s="34">
        <f>F3945+F3944+F3940</f>
        <v>1.37983348</v>
      </c>
      <c r="F3946" s="69">
        <f>E3946*C3946</f>
        <v>0.1241850132</v>
      </c>
    </row>
    <row r="3947" ht="18.75" customHeight="1" spans="1:6">
      <c r="A3947" s="7"/>
      <c r="B3947" s="7" t="s">
        <v>850</v>
      </c>
      <c r="C3947" s="53"/>
      <c r="D3947" s="7"/>
      <c r="E3947" s="34"/>
      <c r="F3947" s="69">
        <f>(F3940+F3944+F3945+F3946)*取费表!H4</f>
        <v>0.045120554796</v>
      </c>
    </row>
    <row r="3948" ht="18.75" customHeight="1" spans="1:6">
      <c r="A3948" s="7"/>
      <c r="B3948" s="7" t="s">
        <v>156</v>
      </c>
      <c r="C3948" s="7"/>
      <c r="D3948" s="7"/>
      <c r="E3948" s="7"/>
      <c r="F3948" s="69">
        <f>E3946+F3946+F3947</f>
        <v>1.549139047996</v>
      </c>
    </row>
    <row r="3949" ht="18.75" customHeight="1" spans="1:6">
      <c r="A3949" s="7"/>
      <c r="B3949" s="7"/>
      <c r="C3949" s="7"/>
      <c r="D3949" s="7"/>
      <c r="E3949" s="7"/>
      <c r="F3949" s="69"/>
    </row>
    <row r="3950" ht="18.75" customHeight="1" spans="1:6">
      <c r="A3950" s="7"/>
      <c r="B3950" s="7"/>
      <c r="C3950" s="7"/>
      <c r="D3950" s="7"/>
      <c r="E3950" s="7"/>
      <c r="F3950" s="69"/>
    </row>
    <row r="3951" ht="18.75" customHeight="1" spans="1:6">
      <c r="A3951" s="7"/>
      <c r="B3951" s="7"/>
      <c r="C3951" s="7"/>
      <c r="D3951" s="7"/>
      <c r="E3951" s="7"/>
      <c r="F3951" s="69"/>
    </row>
    <row r="3952" ht="18.75" customHeight="1" spans="1:6">
      <c r="A3952" s="7"/>
      <c r="B3952" s="7"/>
      <c r="C3952" s="7"/>
      <c r="D3952" s="7"/>
      <c r="E3952" s="7"/>
      <c r="F3952" s="69"/>
    </row>
    <row r="3953" ht="18.75" customHeight="1" spans="1:6">
      <c r="A3953" s="7"/>
      <c r="B3953" s="7"/>
      <c r="C3953" s="7"/>
      <c r="D3953" s="7"/>
      <c r="E3953" s="7"/>
      <c r="F3953" s="69"/>
    </row>
    <row r="3954" ht="18.75" customHeight="1" spans="1:6">
      <c r="A3954" s="7"/>
      <c r="B3954" s="7"/>
      <c r="C3954" s="7"/>
      <c r="D3954" s="7"/>
      <c r="E3954" s="7"/>
      <c r="F3954" s="69"/>
    </row>
    <row r="3955" ht="18.75" customHeight="1" spans="1:6">
      <c r="A3955" s="7"/>
      <c r="B3955" s="7"/>
      <c r="C3955" s="7"/>
      <c r="D3955" s="7"/>
      <c r="E3955" s="7"/>
      <c r="F3955" s="69"/>
    </row>
    <row r="3956" ht="18.75" customHeight="1" spans="1:6">
      <c r="A3956" s="7"/>
      <c r="B3956" s="7"/>
      <c r="C3956" s="7"/>
      <c r="D3956" s="7"/>
      <c r="E3956" s="7"/>
      <c r="F3956" s="69"/>
    </row>
    <row r="3957" ht="18.75" customHeight="1" spans="1:6">
      <c r="A3957" s="7"/>
      <c r="B3957" s="7"/>
      <c r="C3957" s="7"/>
      <c r="D3957" s="7"/>
      <c r="E3957" s="7"/>
      <c r="F3957" s="69"/>
    </row>
    <row r="3958" ht="18.75" customHeight="1" spans="1:6">
      <c r="A3958" s="7"/>
      <c r="B3958" s="7"/>
      <c r="C3958" s="7"/>
      <c r="D3958" s="7"/>
      <c r="E3958" s="7"/>
      <c r="F3958" s="69"/>
    </row>
    <row r="3959" ht="18.75" customHeight="1" spans="1:6">
      <c r="A3959" s="7"/>
      <c r="B3959" s="7"/>
      <c r="C3959" s="7"/>
      <c r="D3959" s="7"/>
      <c r="E3959" s="7"/>
      <c r="F3959" s="69"/>
    </row>
    <row r="3960" ht="18.75" customHeight="1" spans="1:6">
      <c r="A3960" s="7"/>
      <c r="B3960" s="7"/>
      <c r="C3960" s="7"/>
      <c r="D3960" s="7"/>
      <c r="E3960" s="7"/>
      <c r="F3960" s="69"/>
    </row>
    <row r="3961" ht="18.75" customHeight="1" spans="1:6">
      <c r="A3961" s="7"/>
      <c r="B3961" s="7"/>
      <c r="C3961" s="7"/>
      <c r="D3961" s="7"/>
      <c r="E3961" s="7"/>
      <c r="F3961" s="69"/>
    </row>
    <row r="3962" ht="18.75" customHeight="1" spans="1:6">
      <c r="A3962" s="7"/>
      <c r="B3962" s="7"/>
      <c r="C3962" s="7"/>
      <c r="D3962" s="7"/>
      <c r="E3962" s="7"/>
      <c r="F3962" s="69"/>
    </row>
    <row r="3963" ht="18.75" customHeight="1" spans="1:6">
      <c r="A3963" s="7"/>
      <c r="B3963" s="7"/>
      <c r="C3963" s="7"/>
      <c r="D3963" s="7"/>
      <c r="E3963" s="7"/>
      <c r="F3963" s="69"/>
    </row>
    <row r="3964" ht="18.75" customHeight="1" spans="1:6">
      <c r="A3964" s="7"/>
      <c r="B3964" s="7"/>
      <c r="C3964" s="7"/>
      <c r="D3964" s="7"/>
      <c r="E3964" s="7"/>
      <c r="F3964" s="69"/>
    </row>
    <row r="3965" ht="18.75" customHeight="1" spans="1:6">
      <c r="A3965" s="7"/>
      <c r="B3965" s="7"/>
      <c r="C3965" s="7"/>
      <c r="D3965" s="7"/>
      <c r="E3965" s="7"/>
      <c r="F3965" s="69"/>
    </row>
    <row r="3966" ht="18.75" customHeight="1" spans="1:6">
      <c r="A3966" s="7"/>
      <c r="B3966" s="7"/>
      <c r="C3966" s="7"/>
      <c r="D3966" s="7"/>
      <c r="E3966" s="7"/>
      <c r="F3966" s="69"/>
    </row>
    <row r="3967" ht="18.75" customHeight="1" spans="1:6">
      <c r="A3967" s="7"/>
      <c r="B3967" s="7"/>
      <c r="C3967" s="7"/>
      <c r="D3967" s="7"/>
      <c r="E3967" s="7"/>
      <c r="F3967" s="69"/>
    </row>
    <row r="3968" ht="18.75" customHeight="1" spans="1:6">
      <c r="A3968" s="7"/>
      <c r="B3968" s="7"/>
      <c r="C3968" s="7"/>
      <c r="D3968" s="7"/>
      <c r="E3968" s="7"/>
      <c r="F3968" s="69"/>
    </row>
    <row r="3969" ht="18.75" customHeight="1" spans="1:6">
      <c r="A3969" s="7"/>
      <c r="B3969" s="7"/>
      <c r="C3969" s="7"/>
      <c r="D3969" s="7"/>
      <c r="E3969" s="7"/>
      <c r="F3969" s="69"/>
    </row>
    <row r="3970" ht="18.75" customHeight="1" spans="1:6">
      <c r="A3970" s="7"/>
      <c r="B3970" s="7"/>
      <c r="C3970" s="7"/>
      <c r="D3970" s="7"/>
      <c r="E3970" s="7"/>
      <c r="F3970" s="69"/>
    </row>
    <row r="3971" ht="18.75" customHeight="1" spans="1:6">
      <c r="A3971" s="7"/>
      <c r="B3971" s="7"/>
      <c r="C3971" s="7"/>
      <c r="D3971" s="7"/>
      <c r="E3971" s="7"/>
      <c r="F3971" s="69"/>
    </row>
    <row r="3972" ht="14.1" customHeight="1" spans="1:12">
      <c r="A3972" s="248" t="s">
        <v>881</v>
      </c>
      <c r="B3972" s="225"/>
      <c r="C3972" s="225"/>
      <c r="D3972" s="225"/>
      <c r="E3972" s="225"/>
      <c r="F3972" s="225"/>
      <c r="G3972" s="248" t="s">
        <v>881</v>
      </c>
      <c r="H3972" s="225"/>
      <c r="I3972" s="225"/>
      <c r="J3972" s="225"/>
      <c r="K3972" s="225"/>
      <c r="L3972" s="225"/>
    </row>
    <row r="3973" ht="14.1" customHeight="1" spans="1:12">
      <c r="A3973" s="278" t="s">
        <v>1247</v>
      </c>
      <c r="B3973" s="272"/>
      <c r="C3973" s="272"/>
      <c r="D3973" s="272"/>
      <c r="E3973" s="272"/>
      <c r="F3973" s="272"/>
      <c r="G3973" s="278" t="s">
        <v>1248</v>
      </c>
      <c r="H3973" s="272"/>
      <c r="I3973" s="272"/>
      <c r="J3973" s="272"/>
      <c r="K3973" s="272"/>
      <c r="L3973" s="272"/>
    </row>
    <row r="3974" ht="14.1" customHeight="1" spans="1:12">
      <c r="A3974" s="227" t="s">
        <v>1249</v>
      </c>
      <c r="B3974" s="228"/>
      <c r="C3974" s="272"/>
      <c r="D3974" s="272"/>
      <c r="E3974" s="228" t="s">
        <v>832</v>
      </c>
      <c r="F3974" s="228"/>
      <c r="G3974" s="227" t="s">
        <v>1249</v>
      </c>
      <c r="H3974" s="228"/>
      <c r="I3974" s="272"/>
      <c r="J3974" s="272"/>
      <c r="K3974" s="228" t="s">
        <v>832</v>
      </c>
      <c r="L3974" s="228"/>
    </row>
    <row r="3975" ht="14.1" customHeight="1" spans="1:12">
      <c r="A3975" s="232" t="s">
        <v>911</v>
      </c>
      <c r="B3975" s="233"/>
      <c r="C3975" s="234"/>
      <c r="D3975" s="234"/>
      <c r="E3975" s="234"/>
      <c r="F3975" s="235"/>
      <c r="G3975" s="232" t="s">
        <v>911</v>
      </c>
      <c r="H3975" s="233"/>
      <c r="I3975" s="234"/>
      <c r="J3975" s="234"/>
      <c r="K3975" s="234"/>
      <c r="L3975" s="235"/>
    </row>
    <row r="3976" ht="14.1" customHeight="1" spans="1:12">
      <c r="A3976" s="7" t="s">
        <v>104</v>
      </c>
      <c r="B3976" s="7" t="s">
        <v>835</v>
      </c>
      <c r="C3976" s="7" t="s">
        <v>159</v>
      </c>
      <c r="D3976" s="7" t="s">
        <v>422</v>
      </c>
      <c r="E3976" s="7" t="s">
        <v>160</v>
      </c>
      <c r="F3976" s="7" t="s">
        <v>18</v>
      </c>
      <c r="G3976" s="7" t="s">
        <v>104</v>
      </c>
      <c r="H3976" s="7" t="s">
        <v>835</v>
      </c>
      <c r="I3976" s="7" t="s">
        <v>159</v>
      </c>
      <c r="J3976" s="7" t="s">
        <v>422</v>
      </c>
      <c r="K3976" s="7" t="s">
        <v>160</v>
      </c>
      <c r="L3976" s="7" t="s">
        <v>18</v>
      </c>
    </row>
    <row r="3977" ht="14.1" customHeight="1" spans="1:12">
      <c r="A3977" s="7" t="s">
        <v>836</v>
      </c>
      <c r="B3977" s="7" t="s">
        <v>837</v>
      </c>
      <c r="C3977" s="7"/>
      <c r="D3977" s="7"/>
      <c r="E3977" s="7"/>
      <c r="F3977" s="247">
        <f>F3978+F4005+F4006</f>
        <v>37320.5768996157</v>
      </c>
      <c r="G3977" s="7" t="s">
        <v>836</v>
      </c>
      <c r="H3977" s="7" t="s">
        <v>837</v>
      </c>
      <c r="I3977" s="7"/>
      <c r="J3977" s="7"/>
      <c r="K3977" s="7"/>
      <c r="L3977" s="247">
        <f>L3978+L4005+L4006</f>
        <v>39406.1002731277</v>
      </c>
    </row>
    <row r="3978" ht="14.1" customHeight="1" spans="1:12">
      <c r="A3978" s="7" t="s">
        <v>539</v>
      </c>
      <c r="B3978" s="7" t="s">
        <v>838</v>
      </c>
      <c r="C3978" s="7"/>
      <c r="D3978" s="7"/>
      <c r="E3978" s="7"/>
      <c r="F3978" s="69">
        <f>F3979+F3982+F3993+F4002</f>
        <v>35611.2374996333</v>
      </c>
      <c r="G3978" s="7" t="s">
        <v>539</v>
      </c>
      <c r="H3978" s="7" t="s">
        <v>838</v>
      </c>
      <c r="I3978" s="7"/>
      <c r="J3978" s="7"/>
      <c r="K3978" s="7"/>
      <c r="L3978" s="69">
        <f>L3979+L3982+L3993+L4002</f>
        <v>37601.2407186333</v>
      </c>
    </row>
    <row r="3979" ht="14.1" customHeight="1" spans="1:12">
      <c r="A3979" s="7">
        <v>1</v>
      </c>
      <c r="B3979" s="7" t="s">
        <v>839</v>
      </c>
      <c r="C3979" s="7" t="s">
        <v>840</v>
      </c>
      <c r="D3979" s="34"/>
      <c r="E3979" s="42">
        <f>SUM(E3980:E3981)</f>
        <v>1351</v>
      </c>
      <c r="F3979" s="69">
        <f>SUM(F3980:F3981)</f>
        <v>9851.262</v>
      </c>
      <c r="G3979" s="7">
        <v>1</v>
      </c>
      <c r="H3979" s="7" t="s">
        <v>839</v>
      </c>
      <c r="I3979" s="7" t="s">
        <v>840</v>
      </c>
      <c r="J3979" s="34"/>
      <c r="K3979" s="42">
        <f>SUM(K3980:K3981)</f>
        <v>1351</v>
      </c>
      <c r="L3979" s="69">
        <f>SUM(L3980:L3981)</f>
        <v>9851.262</v>
      </c>
    </row>
    <row r="3980" ht="14.1" customHeight="1" spans="1:12">
      <c r="A3980" s="7"/>
      <c r="B3980" s="7" t="s">
        <v>841</v>
      </c>
      <c r="C3980" s="7" t="s">
        <v>840</v>
      </c>
      <c r="D3980" s="69">
        <f>材料预算价!K29</f>
        <v>8.1</v>
      </c>
      <c r="E3980" s="42">
        <v>882.4</v>
      </c>
      <c r="F3980" s="69">
        <f>D3980*E3980</f>
        <v>7147.44</v>
      </c>
      <c r="G3980" s="7"/>
      <c r="H3980" s="7" t="s">
        <v>841</v>
      </c>
      <c r="I3980" s="7" t="s">
        <v>840</v>
      </c>
      <c r="J3980" s="69">
        <f>D3980</f>
        <v>8.1</v>
      </c>
      <c r="K3980" s="42">
        <v>882.4</v>
      </c>
      <c r="L3980" s="69">
        <f t="shared" ref="L3980:L3991" si="241">J3980*K3980</f>
        <v>7147.44</v>
      </c>
    </row>
    <row r="3981" ht="14.1" customHeight="1" spans="1:12">
      <c r="A3981" s="7"/>
      <c r="B3981" s="7" t="s">
        <v>842</v>
      </c>
      <c r="C3981" s="7" t="s">
        <v>840</v>
      </c>
      <c r="D3981" s="69">
        <f>材料预算价!K28</f>
        <v>5.77</v>
      </c>
      <c r="E3981" s="42">
        <v>468.6</v>
      </c>
      <c r="F3981" s="69">
        <f>D3981*E3981</f>
        <v>2703.822</v>
      </c>
      <c r="G3981" s="7"/>
      <c r="H3981" s="7" t="s">
        <v>842</v>
      </c>
      <c r="I3981" s="7" t="s">
        <v>840</v>
      </c>
      <c r="J3981" s="69">
        <f>D3981</f>
        <v>5.77</v>
      </c>
      <c r="K3981" s="42">
        <v>468.6</v>
      </c>
      <c r="L3981" s="69">
        <f t="shared" si="241"/>
        <v>2703.822</v>
      </c>
    </row>
    <row r="3982" ht="14.1" customHeight="1" spans="1:12">
      <c r="A3982" s="7">
        <v>2</v>
      </c>
      <c r="B3982" s="7" t="s">
        <v>912</v>
      </c>
      <c r="C3982" s="7"/>
      <c r="D3982" s="34"/>
      <c r="E3982" s="34"/>
      <c r="F3982" s="34">
        <f>SUM(F3983:F3992)</f>
        <v>22840.1824337638</v>
      </c>
      <c r="G3982" s="7">
        <v>2</v>
      </c>
      <c r="H3982" s="7" t="s">
        <v>912</v>
      </c>
      <c r="I3982" s="7"/>
      <c r="J3982" s="34"/>
      <c r="K3982" s="34"/>
      <c r="L3982" s="34">
        <f>SUM(L3983:L3992)</f>
        <v>24830.1856527638</v>
      </c>
    </row>
    <row r="3983" ht="14.1" customHeight="1" spans="1:12">
      <c r="A3983" s="7"/>
      <c r="B3983" s="273" t="s">
        <v>996</v>
      </c>
      <c r="C3983" s="273" t="s">
        <v>169</v>
      </c>
      <c r="D3983" s="34">
        <f>材料预算价!K10</f>
        <v>2238.008025</v>
      </c>
      <c r="E3983" s="34">
        <v>0.91</v>
      </c>
      <c r="F3983" s="34">
        <f t="shared" ref="F3983:F3991" si="242">D3983*E3983</f>
        <v>2036.58730275</v>
      </c>
      <c r="G3983" s="7"/>
      <c r="H3983" s="273" t="s">
        <v>996</v>
      </c>
      <c r="I3983" s="273" t="s">
        <v>169</v>
      </c>
      <c r="J3983" s="34">
        <f>D3983</f>
        <v>2238.008025</v>
      </c>
      <c r="K3983" s="34">
        <v>0.91</v>
      </c>
      <c r="L3983" s="34">
        <f t="shared" si="241"/>
        <v>2036.58730275</v>
      </c>
    </row>
    <row r="3984" ht="14.1" customHeight="1" spans="1:12">
      <c r="A3984" s="7"/>
      <c r="B3984" s="273" t="s">
        <v>997</v>
      </c>
      <c r="C3984" s="273" t="s">
        <v>863</v>
      </c>
      <c r="D3984" s="34">
        <f>基础材料表!D34</f>
        <v>4.44</v>
      </c>
      <c r="E3984" s="34">
        <v>21.02</v>
      </c>
      <c r="F3984" s="34">
        <f t="shared" si="242"/>
        <v>93.3288</v>
      </c>
      <c r="G3984" s="7"/>
      <c r="H3984" s="273" t="s">
        <v>997</v>
      </c>
      <c r="I3984" s="273" t="s">
        <v>863</v>
      </c>
      <c r="J3984" s="34">
        <f>D3984</f>
        <v>4.44</v>
      </c>
      <c r="K3984" s="34">
        <v>21.02</v>
      </c>
      <c r="L3984" s="34">
        <f t="shared" si="241"/>
        <v>93.3288</v>
      </c>
    </row>
    <row r="3985" ht="14.1" customHeight="1" spans="1:12">
      <c r="A3985" s="7"/>
      <c r="B3985" s="273" t="s">
        <v>998</v>
      </c>
      <c r="C3985" s="273" t="s">
        <v>863</v>
      </c>
      <c r="D3985" s="34">
        <f>基础材料表!D30</f>
        <v>4.5</v>
      </c>
      <c r="E3985" s="34">
        <v>50.23</v>
      </c>
      <c r="F3985" s="34">
        <f t="shared" si="242"/>
        <v>226.035</v>
      </c>
      <c r="G3985" s="7"/>
      <c r="H3985" s="273" t="s">
        <v>998</v>
      </c>
      <c r="I3985" s="273" t="s">
        <v>863</v>
      </c>
      <c r="J3985" s="34">
        <f>基础材料表!J30</f>
        <v>4.5</v>
      </c>
      <c r="K3985" s="34">
        <v>50.23</v>
      </c>
      <c r="L3985" s="34">
        <f t="shared" si="241"/>
        <v>226.035</v>
      </c>
    </row>
    <row r="3986" ht="14.1" customHeight="1" spans="1:12">
      <c r="A3986" s="7"/>
      <c r="B3986" s="273" t="s">
        <v>999</v>
      </c>
      <c r="C3986" s="273" t="s">
        <v>863</v>
      </c>
      <c r="D3986" s="34">
        <f>基础材料表!D16</f>
        <v>5.15</v>
      </c>
      <c r="E3986" s="34">
        <v>67.48</v>
      </c>
      <c r="F3986" s="34">
        <f t="shared" si="242"/>
        <v>347.522</v>
      </c>
      <c r="G3986" s="7"/>
      <c r="H3986" s="273" t="s">
        <v>999</v>
      </c>
      <c r="I3986" s="273" t="s">
        <v>863</v>
      </c>
      <c r="J3986" s="34">
        <f>基础材料表!J16</f>
        <v>5.15</v>
      </c>
      <c r="K3986" s="34">
        <v>67.48</v>
      </c>
      <c r="L3986" s="34">
        <f t="shared" si="241"/>
        <v>347.522</v>
      </c>
    </row>
    <row r="3987" ht="14.1" customHeight="1" spans="1:12">
      <c r="A3987" s="7"/>
      <c r="B3987" s="273" t="s">
        <v>1000</v>
      </c>
      <c r="C3987" s="273" t="s">
        <v>863</v>
      </c>
      <c r="D3987" s="34">
        <f>基础材料表!D28</f>
        <v>4.5</v>
      </c>
      <c r="E3987" s="34">
        <v>1.56</v>
      </c>
      <c r="F3987" s="34">
        <f t="shared" si="242"/>
        <v>7.02</v>
      </c>
      <c r="G3987" s="7"/>
      <c r="H3987" s="273" t="s">
        <v>1000</v>
      </c>
      <c r="I3987" s="273" t="s">
        <v>863</v>
      </c>
      <c r="J3987" s="34">
        <f>基础材料表!J28</f>
        <v>4.5</v>
      </c>
      <c r="K3987" s="34">
        <v>1.56</v>
      </c>
      <c r="L3987" s="34">
        <f t="shared" si="241"/>
        <v>7.02</v>
      </c>
    </row>
    <row r="3988" ht="14.1" customHeight="1" spans="1:12">
      <c r="A3988" s="7"/>
      <c r="B3988" s="273" t="s">
        <v>1001</v>
      </c>
      <c r="C3988" s="273" t="s">
        <v>863</v>
      </c>
      <c r="D3988" s="34">
        <f>基础材料表!D32</f>
        <v>6.39</v>
      </c>
      <c r="E3988" s="34">
        <v>78.38</v>
      </c>
      <c r="F3988" s="34">
        <f t="shared" si="242"/>
        <v>500.8482</v>
      </c>
      <c r="G3988" s="7"/>
      <c r="H3988" s="273" t="s">
        <v>1001</v>
      </c>
      <c r="I3988" s="273" t="s">
        <v>863</v>
      </c>
      <c r="J3988" s="34">
        <f>基础材料表!J32</f>
        <v>5.5</v>
      </c>
      <c r="K3988" s="34">
        <v>78.38</v>
      </c>
      <c r="L3988" s="34">
        <f t="shared" si="241"/>
        <v>431.09</v>
      </c>
    </row>
    <row r="3989" ht="14.1" customHeight="1" spans="1:12">
      <c r="A3989" s="7"/>
      <c r="B3989" s="273" t="s">
        <v>1002</v>
      </c>
      <c r="C3989" s="273" t="s">
        <v>863</v>
      </c>
      <c r="D3989" s="34">
        <f>基础材料表!D5</f>
        <v>5.97</v>
      </c>
      <c r="E3989" s="34">
        <v>1.66</v>
      </c>
      <c r="F3989" s="34">
        <f t="shared" si="242"/>
        <v>9.9102</v>
      </c>
      <c r="G3989" s="7"/>
      <c r="H3989" s="273" t="s">
        <v>1002</v>
      </c>
      <c r="I3989" s="273" t="s">
        <v>863</v>
      </c>
      <c r="J3989" s="34">
        <f>基础材料表!J5</f>
        <v>5.97</v>
      </c>
      <c r="K3989" s="34">
        <v>1.66</v>
      </c>
      <c r="L3989" s="34">
        <f t="shared" si="241"/>
        <v>9.9102</v>
      </c>
    </row>
    <row r="3990" ht="14.1" customHeight="1" spans="1:12">
      <c r="A3990" s="7"/>
      <c r="B3990" s="7" t="s">
        <v>1025</v>
      </c>
      <c r="C3990" s="7" t="s">
        <v>169</v>
      </c>
      <c r="D3990" s="34">
        <f>配合比!M11</f>
        <v>188.0418245</v>
      </c>
      <c r="E3990" s="34">
        <v>103</v>
      </c>
      <c r="F3990" s="34">
        <f t="shared" si="242"/>
        <v>19368.3079235</v>
      </c>
      <c r="G3990" s="7"/>
      <c r="H3990" s="7" t="s">
        <v>1056</v>
      </c>
      <c r="I3990" s="7" t="s">
        <v>169</v>
      </c>
      <c r="J3990" s="34">
        <f>配合比!M12</f>
        <v>208.0428945</v>
      </c>
      <c r="K3990" s="34">
        <v>103</v>
      </c>
      <c r="L3990" s="34">
        <f t="shared" si="241"/>
        <v>21428.4181335</v>
      </c>
    </row>
    <row r="3991" ht="14.1" customHeight="1" spans="1:12">
      <c r="A3991" s="7"/>
      <c r="B3991" s="7" t="s">
        <v>913</v>
      </c>
      <c r="C3991" s="7" t="s">
        <v>169</v>
      </c>
      <c r="D3991" s="34">
        <f>材料预算价!K13</f>
        <v>3.59</v>
      </c>
      <c r="E3991" s="34">
        <v>65</v>
      </c>
      <c r="F3991" s="34">
        <f t="shared" si="242"/>
        <v>233.35</v>
      </c>
      <c r="G3991" s="7"/>
      <c r="H3991" s="7" t="s">
        <v>913</v>
      </c>
      <c r="I3991" s="7" t="s">
        <v>169</v>
      </c>
      <c r="J3991" s="34">
        <f>D3991</f>
        <v>3.59</v>
      </c>
      <c r="K3991" s="34">
        <v>65</v>
      </c>
      <c r="L3991" s="34">
        <f t="shared" si="241"/>
        <v>233.35</v>
      </c>
    </row>
    <row r="3992" ht="14.1" customHeight="1" spans="1:12">
      <c r="A3992" s="7"/>
      <c r="B3992" s="7" t="s">
        <v>1004</v>
      </c>
      <c r="C3992" s="9" t="s">
        <v>845</v>
      </c>
      <c r="D3992" s="34">
        <f>F3983+F3984+F3985+F3986+F3987+F3988+F3989+F3991</f>
        <v>3454.60150275</v>
      </c>
      <c r="E3992" s="34">
        <v>0.5</v>
      </c>
      <c r="F3992" s="34">
        <f>D3992*E3992/100</f>
        <v>17.27300751375</v>
      </c>
      <c r="G3992" s="7"/>
      <c r="H3992" s="7" t="s">
        <v>1004</v>
      </c>
      <c r="I3992" s="9" t="s">
        <v>845</v>
      </c>
      <c r="J3992" s="34">
        <f>L3983+L3984+L3985+L3986+L3987+L3988+L3989+L3991</f>
        <v>3384.84330275</v>
      </c>
      <c r="K3992" s="34">
        <v>0.5</v>
      </c>
      <c r="L3992" s="34">
        <f>J3992*K3992/100</f>
        <v>16.92421651375</v>
      </c>
    </row>
    <row r="3993" ht="14.1" customHeight="1" spans="1:12">
      <c r="A3993" s="7">
        <v>3</v>
      </c>
      <c r="B3993" s="7" t="s">
        <v>859</v>
      </c>
      <c r="C3993" s="7"/>
      <c r="D3993" s="324"/>
      <c r="E3993" s="324"/>
      <c r="F3993" s="324">
        <f>SUM(F3994:F4001)</f>
        <v>928.136874481372</v>
      </c>
      <c r="G3993" s="7">
        <v>3</v>
      </c>
      <c r="H3993" s="7" t="s">
        <v>859</v>
      </c>
      <c r="I3993" s="7"/>
      <c r="J3993" s="324"/>
      <c r="K3993" s="324"/>
      <c r="L3993" s="324">
        <f>SUM(L3994:L4001)</f>
        <v>928.136874481372</v>
      </c>
    </row>
    <row r="3994" ht="14.1" customHeight="1" spans="1:12">
      <c r="A3994" s="7"/>
      <c r="B3994" s="7" t="s">
        <v>1005</v>
      </c>
      <c r="C3994" s="7" t="s">
        <v>428</v>
      </c>
      <c r="D3994" s="34">
        <f>台时!H42</f>
        <v>49.389824491424</v>
      </c>
      <c r="E3994" s="325">
        <v>1.42</v>
      </c>
      <c r="F3994" s="34">
        <f t="shared" ref="F3994:F4000" si="243">D3994*E3994</f>
        <v>70.1335507778221</v>
      </c>
      <c r="G3994" s="7"/>
      <c r="H3994" s="7" t="s">
        <v>1005</v>
      </c>
      <c r="I3994" s="7" t="s">
        <v>428</v>
      </c>
      <c r="J3994" s="34">
        <f t="shared" ref="J3994:J4000" si="244">D3994</f>
        <v>49.389824491424</v>
      </c>
      <c r="K3994" s="325">
        <v>1.42</v>
      </c>
      <c r="L3994" s="34">
        <f t="shared" ref="L3994:L4000" si="245">J3994*K3994</f>
        <v>70.1335507778221</v>
      </c>
    </row>
    <row r="3995" ht="14.1" customHeight="1" spans="1:12">
      <c r="A3995" s="7"/>
      <c r="B3995" s="7" t="s">
        <v>1006</v>
      </c>
      <c r="C3995" s="7" t="s">
        <v>428</v>
      </c>
      <c r="D3995" s="34">
        <f>台时!F84</f>
        <v>62.3342780215397</v>
      </c>
      <c r="E3995" s="325">
        <v>0.12</v>
      </c>
      <c r="F3995" s="34">
        <f t="shared" si="243"/>
        <v>7.48011336258476</v>
      </c>
      <c r="G3995" s="7"/>
      <c r="H3995" s="7" t="s">
        <v>1006</v>
      </c>
      <c r="I3995" s="7" t="s">
        <v>428</v>
      </c>
      <c r="J3995" s="34">
        <f t="shared" si="244"/>
        <v>62.3342780215397</v>
      </c>
      <c r="K3995" s="325">
        <v>0.12</v>
      </c>
      <c r="L3995" s="34">
        <f t="shared" si="245"/>
        <v>7.48011336258476</v>
      </c>
    </row>
    <row r="3996" ht="14.1" customHeight="1" spans="1:12">
      <c r="A3996" s="7"/>
      <c r="B3996" s="123" t="s">
        <v>1250</v>
      </c>
      <c r="C3996" s="123" t="s">
        <v>428</v>
      </c>
      <c r="D3996" s="34">
        <f>台时!G63</f>
        <v>90.2272672516953</v>
      </c>
      <c r="E3996" s="325">
        <v>1.23</v>
      </c>
      <c r="F3996" s="34">
        <f t="shared" si="243"/>
        <v>110.979538719585</v>
      </c>
      <c r="G3996" s="7"/>
      <c r="H3996" s="123" t="s">
        <v>1250</v>
      </c>
      <c r="I3996" s="123" t="s">
        <v>428</v>
      </c>
      <c r="J3996" s="34">
        <f t="shared" si="244"/>
        <v>90.2272672516953</v>
      </c>
      <c r="K3996" s="325">
        <v>1.23</v>
      </c>
      <c r="L3996" s="34">
        <f t="shared" si="245"/>
        <v>110.979538719585</v>
      </c>
    </row>
    <row r="3997" ht="14.1" customHeight="1" spans="1:12">
      <c r="A3997" s="7"/>
      <c r="B3997" s="7" t="s">
        <v>1251</v>
      </c>
      <c r="C3997" s="7" t="s">
        <v>428</v>
      </c>
      <c r="D3997" s="34">
        <f>台时!D84</f>
        <v>17.6095053849222</v>
      </c>
      <c r="E3997" s="325">
        <v>2.86</v>
      </c>
      <c r="F3997" s="34">
        <f t="shared" si="243"/>
        <v>50.3631854008775</v>
      </c>
      <c r="G3997" s="7"/>
      <c r="H3997" s="7" t="s">
        <v>1251</v>
      </c>
      <c r="I3997" s="7" t="s">
        <v>428</v>
      </c>
      <c r="J3997" s="34">
        <f t="shared" si="244"/>
        <v>17.6095053849222</v>
      </c>
      <c r="K3997" s="325">
        <v>2.86</v>
      </c>
      <c r="L3997" s="34">
        <f t="shared" si="245"/>
        <v>50.3631854008775</v>
      </c>
    </row>
    <row r="3998" ht="14.1" customHeight="1" spans="1:12">
      <c r="A3998" s="7"/>
      <c r="B3998" s="7" t="s">
        <v>1009</v>
      </c>
      <c r="C3998" s="7" t="s">
        <v>428</v>
      </c>
      <c r="D3998" s="34">
        <f>台时!F42</f>
        <v>1.82152692461109</v>
      </c>
      <c r="E3998" s="325">
        <v>43.26</v>
      </c>
      <c r="F3998" s="34">
        <f t="shared" si="243"/>
        <v>78.7992547586757</v>
      </c>
      <c r="G3998" s="7"/>
      <c r="H3998" s="7" t="s">
        <v>1009</v>
      </c>
      <c r="I3998" s="7" t="s">
        <v>428</v>
      </c>
      <c r="J3998" s="34">
        <f t="shared" si="244"/>
        <v>1.82152692461109</v>
      </c>
      <c r="K3998" s="325">
        <v>43.26</v>
      </c>
      <c r="L3998" s="34">
        <f t="shared" si="245"/>
        <v>78.7992547586757</v>
      </c>
    </row>
    <row r="3999" ht="14.1" customHeight="1" spans="1:12">
      <c r="A3999" s="7"/>
      <c r="B3999" s="7" t="s">
        <v>1079</v>
      </c>
      <c r="C3999" s="7" t="s">
        <v>428</v>
      </c>
      <c r="D3999" s="34">
        <f>台时!D42</f>
        <v>23.9179521340247</v>
      </c>
      <c r="E3999" s="325">
        <v>18.54</v>
      </c>
      <c r="F3999" s="34">
        <f t="shared" si="243"/>
        <v>443.438832564818</v>
      </c>
      <c r="G3999" s="7"/>
      <c r="H3999" s="7" t="s">
        <v>1079</v>
      </c>
      <c r="I3999" s="7" t="s">
        <v>428</v>
      </c>
      <c r="J3999" s="34">
        <f t="shared" si="244"/>
        <v>23.9179521340247</v>
      </c>
      <c r="K3999" s="325">
        <v>18.54</v>
      </c>
      <c r="L3999" s="34">
        <f t="shared" si="245"/>
        <v>443.438832564818</v>
      </c>
    </row>
    <row r="4000" ht="14.1" customHeight="1" spans="1:12">
      <c r="A4000" s="7"/>
      <c r="B4000" s="7" t="s">
        <v>967</v>
      </c>
      <c r="C4000" s="7" t="s">
        <v>428</v>
      </c>
      <c r="D4000" s="34">
        <f>台时!C42</f>
        <v>0.813242919824491</v>
      </c>
      <c r="E4000" s="325">
        <v>83</v>
      </c>
      <c r="F4000" s="34">
        <f t="shared" si="243"/>
        <v>67.4991623454328</v>
      </c>
      <c r="G4000" s="7"/>
      <c r="H4000" s="7" t="s">
        <v>967</v>
      </c>
      <c r="I4000" s="7" t="s">
        <v>428</v>
      </c>
      <c r="J4000" s="34">
        <f t="shared" si="244"/>
        <v>0.813242919824491</v>
      </c>
      <c r="K4000" s="325">
        <v>83</v>
      </c>
      <c r="L4000" s="34">
        <f t="shared" si="245"/>
        <v>67.4991623454328</v>
      </c>
    </row>
    <row r="4001" ht="14.1" customHeight="1" spans="1:12">
      <c r="A4001" s="7"/>
      <c r="B4001" s="7" t="s">
        <v>918</v>
      </c>
      <c r="C4001" s="9" t="s">
        <v>845</v>
      </c>
      <c r="D4001" s="34">
        <f>SUM(F3994:F4000)</f>
        <v>828.693637929797</v>
      </c>
      <c r="E4001" s="325">
        <v>12</v>
      </c>
      <c r="F4001" s="34">
        <f>D4001*E4001/100</f>
        <v>99.4432365515756</v>
      </c>
      <c r="G4001" s="7"/>
      <c r="H4001" s="7" t="s">
        <v>918</v>
      </c>
      <c r="I4001" s="9" t="s">
        <v>845</v>
      </c>
      <c r="J4001" s="34">
        <f>SUM(L3994:L4000)</f>
        <v>828.693637929797</v>
      </c>
      <c r="K4001" s="325">
        <v>12</v>
      </c>
      <c r="L4001" s="34">
        <f>J4001*K4001/100</f>
        <v>99.4432365515756</v>
      </c>
    </row>
    <row r="4002" s="64" customFormat="1" ht="14.1" customHeight="1" spans="1:12">
      <c r="A4002" s="7">
        <v>4</v>
      </c>
      <c r="B4002" s="7" t="s">
        <v>1010</v>
      </c>
      <c r="C4002" s="9"/>
      <c r="D4002" s="34"/>
      <c r="E4002" s="34"/>
      <c r="F4002" s="34">
        <f>SUM(F4003:F4004)</f>
        <v>1991.65619138815</v>
      </c>
      <c r="G4002" s="7">
        <v>4</v>
      </c>
      <c r="H4002" s="7" t="s">
        <v>1010</v>
      </c>
      <c r="I4002" s="9"/>
      <c r="J4002" s="34"/>
      <c r="K4002" s="34"/>
      <c r="L4002" s="34">
        <f>SUM(L4003:L4004)</f>
        <v>1991.65619138815</v>
      </c>
    </row>
    <row r="4003" ht="14.1" customHeight="1" spans="1:12">
      <c r="A4003" s="7"/>
      <c r="B4003" s="123" t="s">
        <v>681</v>
      </c>
      <c r="C4003" s="123" t="s">
        <v>169</v>
      </c>
      <c r="D4003" s="274">
        <f>D2396</f>
        <v>5.03319379720782</v>
      </c>
      <c r="E4003" s="274">
        <v>103</v>
      </c>
      <c r="F4003" s="34">
        <f>D4003*E4003</f>
        <v>518.418961112405</v>
      </c>
      <c r="G4003" s="7"/>
      <c r="H4003" s="123" t="s">
        <v>681</v>
      </c>
      <c r="I4003" s="123" t="s">
        <v>169</v>
      </c>
      <c r="J4003" s="274">
        <f>D4003</f>
        <v>5.03319379720782</v>
      </c>
      <c r="K4003" s="274">
        <v>103</v>
      </c>
      <c r="L4003" s="34">
        <f>J4003*K4003</f>
        <v>518.418961112405</v>
      </c>
    </row>
    <row r="4004" ht="14.1" customHeight="1" spans="1:12">
      <c r="A4004" s="7"/>
      <c r="B4004" s="123" t="s">
        <v>682</v>
      </c>
      <c r="C4004" s="123" t="s">
        <v>169</v>
      </c>
      <c r="D4004" s="274">
        <f>D2397</f>
        <v>14.303274080347</v>
      </c>
      <c r="E4004" s="274">
        <v>103</v>
      </c>
      <c r="F4004" s="34">
        <f>D4004*E4004</f>
        <v>1473.23723027574</v>
      </c>
      <c r="G4004" s="7"/>
      <c r="H4004" s="123" t="s">
        <v>682</v>
      </c>
      <c r="I4004" s="123" t="s">
        <v>169</v>
      </c>
      <c r="J4004" s="274">
        <f>D4004</f>
        <v>14.303274080347</v>
      </c>
      <c r="K4004" s="274">
        <v>103</v>
      </c>
      <c r="L4004" s="34">
        <f>J4004*K4004</f>
        <v>1473.23723027574</v>
      </c>
    </row>
    <row r="4005" ht="14.1" customHeight="1" spans="1:12">
      <c r="A4005" s="7" t="s">
        <v>564</v>
      </c>
      <c r="B4005" s="7" t="s">
        <v>846</v>
      </c>
      <c r="C4005" s="230">
        <f>取费表!C7</f>
        <v>0.048</v>
      </c>
      <c r="D4005" s="250"/>
      <c r="E4005" s="69">
        <f>F3978</f>
        <v>35611.2374996333</v>
      </c>
      <c r="F4005" s="69">
        <f>E4005*C4005</f>
        <v>1709.3393999824</v>
      </c>
      <c r="G4005" s="7" t="s">
        <v>564</v>
      </c>
      <c r="H4005" s="7" t="s">
        <v>846</v>
      </c>
      <c r="I4005" s="230">
        <f>C4005</f>
        <v>0.048</v>
      </c>
      <c r="J4005" s="250"/>
      <c r="K4005" s="69">
        <f>L3978</f>
        <v>37601.2407186333</v>
      </c>
      <c r="L4005" s="69">
        <f t="shared" ref="L4005:L4008" si="246">K4005*I4005</f>
        <v>1804.8595544944</v>
      </c>
    </row>
    <row r="4006" ht="14.1" customHeight="1" spans="1:12">
      <c r="A4006" s="7"/>
      <c r="B4006" s="7"/>
      <c r="C4006" s="230"/>
      <c r="D4006" s="250"/>
      <c r="E4006" s="69"/>
      <c r="F4006" s="69"/>
      <c r="G4006" s="7"/>
      <c r="H4006" s="7"/>
      <c r="I4006" s="230"/>
      <c r="J4006" s="250"/>
      <c r="K4006" s="69"/>
      <c r="L4006" s="69"/>
    </row>
    <row r="4007" ht="14.1" customHeight="1" spans="1:12">
      <c r="A4007" s="7" t="s">
        <v>439</v>
      </c>
      <c r="B4007" s="7" t="s">
        <v>847</v>
      </c>
      <c r="C4007" s="230">
        <f>取费表!E7</f>
        <v>0.07</v>
      </c>
      <c r="D4007" s="250"/>
      <c r="E4007" s="69">
        <f>F3977</f>
        <v>37320.5768996157</v>
      </c>
      <c r="F4007" s="69">
        <f>E4007*C4007</f>
        <v>2612.4403829731</v>
      </c>
      <c r="G4007" s="7" t="s">
        <v>439</v>
      </c>
      <c r="H4007" s="7" t="s">
        <v>847</v>
      </c>
      <c r="I4007" s="230">
        <f>C4007</f>
        <v>0.07</v>
      </c>
      <c r="J4007" s="250"/>
      <c r="K4007" s="69">
        <f>L3977</f>
        <v>39406.1002731277</v>
      </c>
      <c r="L4007" s="69">
        <f t="shared" si="246"/>
        <v>2758.42701911894</v>
      </c>
    </row>
    <row r="4008" ht="14.1" customHeight="1" spans="1:12">
      <c r="A4008" s="7" t="s">
        <v>83</v>
      </c>
      <c r="B4008" s="7" t="s">
        <v>848</v>
      </c>
      <c r="C4008" s="230">
        <f>取费表!F7</f>
        <v>0.07</v>
      </c>
      <c r="D4008" s="250"/>
      <c r="E4008" s="69">
        <f>E4007+F4007</f>
        <v>39933.0172825888</v>
      </c>
      <c r="F4008" s="69">
        <f>E4008*C4008</f>
        <v>2795.31120978121</v>
      </c>
      <c r="G4008" s="7" t="s">
        <v>83</v>
      </c>
      <c r="H4008" s="7" t="s">
        <v>848</v>
      </c>
      <c r="I4008" s="230">
        <f>C4008</f>
        <v>0.07</v>
      </c>
      <c r="J4008" s="250"/>
      <c r="K4008" s="69">
        <f>K4007+L4007</f>
        <v>42164.5272922466</v>
      </c>
      <c r="L4008" s="69">
        <f t="shared" si="246"/>
        <v>2951.51691045726</v>
      </c>
    </row>
    <row r="4009" ht="14.1" customHeight="1" spans="1:12">
      <c r="A4009" s="5" t="s">
        <v>135</v>
      </c>
      <c r="B4009" s="5" t="s">
        <v>861</v>
      </c>
      <c r="C4009" s="275"/>
      <c r="D4009" s="276"/>
      <c r="E4009" s="5"/>
      <c r="F4009" s="277">
        <f>F4010+F4015</f>
        <v>9704.50311194332</v>
      </c>
      <c r="G4009" s="5" t="s">
        <v>135</v>
      </c>
      <c r="H4009" s="5" t="s">
        <v>861</v>
      </c>
      <c r="I4009" s="275"/>
      <c r="J4009" s="276"/>
      <c r="K4009" s="5"/>
      <c r="L4009" s="277">
        <f>L4010+L4015</f>
        <v>10874.2054597488</v>
      </c>
    </row>
    <row r="4010" ht="14.1" customHeight="1" spans="1:12">
      <c r="A4010" s="7">
        <v>1</v>
      </c>
      <c r="B4010" s="7" t="s">
        <v>1011</v>
      </c>
      <c r="C4010" s="9"/>
      <c r="D4010" s="34"/>
      <c r="E4010" s="7"/>
      <c r="F4010" s="69">
        <f>SUM(F4011:F4014)</f>
        <v>9639.80211194332</v>
      </c>
      <c r="G4010" s="7">
        <v>1</v>
      </c>
      <c r="H4010" s="7" t="s">
        <v>1011</v>
      </c>
      <c r="I4010" s="9"/>
      <c r="J4010" s="34"/>
      <c r="K4010" s="7"/>
      <c r="L4010" s="69">
        <f>SUM(L4011:L4014)</f>
        <v>10809.5044597488</v>
      </c>
    </row>
    <row r="4011" ht="14.1" customHeight="1" spans="1:12">
      <c r="A4011" s="7"/>
      <c r="B4011" s="7"/>
      <c r="C4011" s="7"/>
      <c r="D4011" s="34"/>
      <c r="E4011" s="34"/>
      <c r="F4011" s="69"/>
      <c r="G4011" s="7"/>
      <c r="H4011" s="7"/>
      <c r="I4011" s="7"/>
      <c r="J4011" s="34"/>
      <c r="K4011" s="34"/>
      <c r="L4011" s="69"/>
    </row>
    <row r="4012" ht="14.1" customHeight="1" spans="1:12">
      <c r="A4012" s="7"/>
      <c r="B4012" s="7" t="s">
        <v>979</v>
      </c>
      <c r="C4012" s="7" t="s">
        <v>169</v>
      </c>
      <c r="D4012" s="34">
        <f>材料预算价!K5-材料预算价!L5</f>
        <v>141.58936</v>
      </c>
      <c r="E4012" s="34">
        <f>E3990*配合比!E11</f>
        <v>37.58161</v>
      </c>
      <c r="F4012" s="69">
        <f>D4012*E4012</f>
        <v>5321.1561076696</v>
      </c>
      <c r="G4012" s="7"/>
      <c r="H4012" s="7" t="s">
        <v>979</v>
      </c>
      <c r="I4012" s="7" t="s">
        <v>169</v>
      </c>
      <c r="J4012" s="34">
        <f>D4012</f>
        <v>141.58936</v>
      </c>
      <c r="K4012" s="34">
        <f>K3990*配合比!E12</f>
        <v>46.552704</v>
      </c>
      <c r="L4012" s="69">
        <f t="shared" ref="L4012:L4014" si="247">J4012*K4012</f>
        <v>6591.36756562944</v>
      </c>
    </row>
    <row r="4013" ht="14.1" customHeight="1" spans="1:12">
      <c r="A4013" s="7"/>
      <c r="B4013" s="7" t="s">
        <v>961</v>
      </c>
      <c r="C4013" s="7" t="s">
        <v>169</v>
      </c>
      <c r="D4013" s="34">
        <f>材料预算价!K7-材料预算价!L7</f>
        <v>34.366056</v>
      </c>
      <c r="E4013" s="34">
        <f>E3990*配合比!G11</f>
        <v>52.18598</v>
      </c>
      <c r="F4013" s="69">
        <f>D4013*E4013</f>
        <v>1793.42631109488</v>
      </c>
      <c r="G4013" s="7"/>
      <c r="H4013" s="7" t="s">
        <v>961</v>
      </c>
      <c r="I4013" s="7" t="s">
        <v>169</v>
      </c>
      <c r="J4013" s="34">
        <f>D4013</f>
        <v>34.366056</v>
      </c>
      <c r="K4013" s="34">
        <f>K3990*配合比!G12</f>
        <v>51.07564</v>
      </c>
      <c r="L4013" s="69">
        <f t="shared" si="247"/>
        <v>1755.26830447584</v>
      </c>
    </row>
    <row r="4014" ht="14.1" customHeight="1" spans="1:12">
      <c r="A4014" s="7"/>
      <c r="B4014" s="7" t="s">
        <v>960</v>
      </c>
      <c r="C4014" s="7" t="s">
        <v>169</v>
      </c>
      <c r="D4014" s="34">
        <f>材料预算价!K8-材料预算价!L8</f>
        <v>29.13701</v>
      </c>
      <c r="E4014" s="34">
        <f>E3990*配合比!I11</f>
        <v>86.667084</v>
      </c>
      <c r="F4014" s="69">
        <f>D4014*E4014</f>
        <v>2525.21969317884</v>
      </c>
      <c r="G4014" s="7"/>
      <c r="H4014" s="7" t="s">
        <v>960</v>
      </c>
      <c r="I4014" s="7" t="s">
        <v>169</v>
      </c>
      <c r="J4014" s="34">
        <f>D4014</f>
        <v>29.13701</v>
      </c>
      <c r="K4014" s="34">
        <f>K3990*配合比!I12</f>
        <v>84.527156</v>
      </c>
      <c r="L4014" s="69">
        <f t="shared" si="247"/>
        <v>2462.86858964356</v>
      </c>
    </row>
    <row r="4015" ht="14.1" customHeight="1" spans="1:12">
      <c r="A4015" s="7">
        <v>2</v>
      </c>
      <c r="B4015" s="7" t="s">
        <v>1013</v>
      </c>
      <c r="C4015" s="7"/>
      <c r="D4015" s="34"/>
      <c r="E4015" s="38"/>
      <c r="F4015" s="69">
        <f>SUM(F4016:F4017)</f>
        <v>64.701</v>
      </c>
      <c r="G4015" s="7">
        <v>2</v>
      </c>
      <c r="H4015" s="7" t="s">
        <v>1013</v>
      </c>
      <c r="I4015" s="7"/>
      <c r="J4015" s="34"/>
      <c r="K4015" s="38"/>
      <c r="L4015" s="69">
        <f>SUM(L4016:L4017)</f>
        <v>64.701</v>
      </c>
    </row>
    <row r="4016" ht="14.1" customHeight="1" spans="1:12">
      <c r="A4016" s="7"/>
      <c r="B4016" s="7" t="s">
        <v>1014</v>
      </c>
      <c r="C4016" s="7" t="s">
        <v>863</v>
      </c>
      <c r="D4016" s="34">
        <f>材料预算价!K12-材料预算价!L12</f>
        <v>5.925</v>
      </c>
      <c r="E4016" s="38">
        <f>(E3994*7.2+E3995*5.8)</f>
        <v>10.92</v>
      </c>
      <c r="F4016" s="69">
        <f>D4016*E4016</f>
        <v>64.701</v>
      </c>
      <c r="G4016" s="7"/>
      <c r="H4016" s="7" t="s">
        <v>1014</v>
      </c>
      <c r="I4016" s="7" t="s">
        <v>863</v>
      </c>
      <c r="J4016" s="34">
        <f>D4016</f>
        <v>5.925</v>
      </c>
      <c r="K4016" s="38">
        <f>(K3994*7.2+K3995*5.8)</f>
        <v>10.92</v>
      </c>
      <c r="L4016" s="69">
        <f>J4016*K4016</f>
        <v>64.701</v>
      </c>
    </row>
    <row r="4017" ht="14.1" customHeight="1" spans="1:12">
      <c r="A4017" s="7"/>
      <c r="B4017" s="7" t="s">
        <v>862</v>
      </c>
      <c r="C4017" s="7" t="s">
        <v>863</v>
      </c>
      <c r="D4017" s="34">
        <f>材料预算价!K11-材料预算价!L11</f>
        <v>4.58</v>
      </c>
      <c r="E4017" s="38"/>
      <c r="F4017" s="69">
        <f>D4017*E4017</f>
        <v>0</v>
      </c>
      <c r="G4017" s="7"/>
      <c r="H4017" s="7" t="s">
        <v>862</v>
      </c>
      <c r="I4017" s="7" t="s">
        <v>863</v>
      </c>
      <c r="J4017" s="34">
        <f>D4017</f>
        <v>4.58</v>
      </c>
      <c r="K4017" s="38"/>
      <c r="L4017" s="69">
        <f>J4017*K4017</f>
        <v>0</v>
      </c>
    </row>
    <row r="4018" ht="14.1" customHeight="1" spans="1:12">
      <c r="A4018" s="7"/>
      <c r="B4018" s="7" t="s">
        <v>849</v>
      </c>
      <c r="C4018" s="231">
        <f>取费表!G7</f>
        <v>0.09</v>
      </c>
      <c r="D4018" s="283"/>
      <c r="E4018" s="34">
        <f>E4008+F4008+F4009</f>
        <v>52432.8316043133</v>
      </c>
      <c r="F4018" s="34">
        <f>C4018*E4018</f>
        <v>4718.9548443882</v>
      </c>
      <c r="G4018" s="7"/>
      <c r="H4018" s="7" t="s">
        <v>849</v>
      </c>
      <c r="I4018" s="231">
        <f>C4018</f>
        <v>0.09</v>
      </c>
      <c r="J4018" s="283"/>
      <c r="K4018" s="34">
        <f>K4008+L4008+L4009</f>
        <v>55990.2496624527</v>
      </c>
      <c r="L4018" s="34">
        <f>I4018*K4018</f>
        <v>5039.12246962074</v>
      </c>
    </row>
    <row r="4019" ht="14.1" customHeight="1" spans="1:12">
      <c r="A4019" s="7"/>
      <c r="B4019" s="7" t="s">
        <v>850</v>
      </c>
      <c r="C4019" s="231"/>
      <c r="D4019" s="283"/>
      <c r="E4019" s="34"/>
      <c r="F4019" s="34">
        <f>(E4018+F4018)*取费表!H4</f>
        <v>1714.55359346105</v>
      </c>
      <c r="G4019" s="7"/>
      <c r="H4019" s="7" t="s">
        <v>850</v>
      </c>
      <c r="I4019" s="231"/>
      <c r="J4019" s="283"/>
      <c r="K4019" s="34"/>
      <c r="L4019" s="34">
        <f>(K4018+L4018)*取费表!H7</f>
        <v>1830.8811639622</v>
      </c>
    </row>
    <row r="4020" ht="14.1" customHeight="1" spans="1:12">
      <c r="A4020" s="7"/>
      <c r="B4020" s="7" t="s">
        <v>156</v>
      </c>
      <c r="C4020" s="8"/>
      <c r="D4020" s="283"/>
      <c r="E4020" s="283"/>
      <c r="F4020" s="34">
        <f>E4018+F4018+F4019</f>
        <v>58866.3400421626</v>
      </c>
      <c r="G4020" s="7"/>
      <c r="H4020" s="7" t="s">
        <v>156</v>
      </c>
      <c r="I4020" s="8"/>
      <c r="J4020" s="283"/>
      <c r="K4020" s="283"/>
      <c r="L4020" s="34">
        <f>K4018+L4018+L4019</f>
        <v>62860.2532960356</v>
      </c>
    </row>
    <row r="4021" ht="16.5" customHeight="1" spans="1:6">
      <c r="A4021" s="240" t="s">
        <v>828</v>
      </c>
      <c r="B4021" s="240"/>
      <c r="C4021" s="240"/>
      <c r="D4021" s="240"/>
      <c r="E4021" s="240"/>
      <c r="F4021" s="240"/>
    </row>
    <row r="4022" ht="16.5" customHeight="1" spans="1:6">
      <c r="A4022" s="296" t="s">
        <v>1252</v>
      </c>
      <c r="B4022" s="296"/>
      <c r="C4022" s="296"/>
      <c r="D4022" s="296"/>
      <c r="E4022" s="296"/>
      <c r="F4022" s="296"/>
    </row>
    <row r="4023" ht="16.5" customHeight="1" spans="1:6">
      <c r="A4023" s="227" t="s">
        <v>1253</v>
      </c>
      <c r="B4023" s="228"/>
      <c r="C4023" s="229"/>
      <c r="D4023" s="229"/>
      <c r="E4023" s="228" t="s">
        <v>832</v>
      </c>
      <c r="F4023" s="228"/>
    </row>
    <row r="4024" ht="16.5" customHeight="1" spans="1:6">
      <c r="A4024" s="146" t="s">
        <v>911</v>
      </c>
      <c r="B4024" s="233"/>
      <c r="C4024" s="233"/>
      <c r="D4024" s="233"/>
      <c r="E4024" s="233"/>
      <c r="F4024" s="147"/>
    </row>
    <row r="4025" ht="16.5" customHeight="1" spans="1:6">
      <c r="A4025" s="7" t="s">
        <v>104</v>
      </c>
      <c r="B4025" s="7" t="s">
        <v>835</v>
      </c>
      <c r="C4025" s="7" t="s">
        <v>159</v>
      </c>
      <c r="D4025" s="7" t="s">
        <v>422</v>
      </c>
      <c r="E4025" s="7" t="s">
        <v>160</v>
      </c>
      <c r="F4025" s="7" t="s">
        <v>18</v>
      </c>
    </row>
    <row r="4026" ht="16.5" customHeight="1" spans="1:6">
      <c r="A4026" s="7" t="s">
        <v>836</v>
      </c>
      <c r="B4026" s="7" t="s">
        <v>837</v>
      </c>
      <c r="C4026" s="7"/>
      <c r="D4026" s="7"/>
      <c r="E4026" s="7"/>
      <c r="F4026" s="34">
        <f>F4027+F4035</f>
        <v>1158.83168269326</v>
      </c>
    </row>
    <row r="4027" ht="16.5" customHeight="1" spans="1:6">
      <c r="A4027" s="7" t="s">
        <v>539</v>
      </c>
      <c r="B4027" s="7" t="s">
        <v>838</v>
      </c>
      <c r="C4027" s="7"/>
      <c r="D4027" s="7"/>
      <c r="E4027" s="7"/>
      <c r="F4027" s="34">
        <f>F4028+F4031+F4033</f>
        <v>1105.75542241723</v>
      </c>
    </row>
    <row r="4028" ht="16.5" customHeight="1" spans="1:6">
      <c r="A4028" s="7">
        <v>1</v>
      </c>
      <c r="B4028" s="7" t="s">
        <v>839</v>
      </c>
      <c r="C4028" s="7" t="s">
        <v>840</v>
      </c>
      <c r="D4028" s="69"/>
      <c r="E4028" s="42">
        <f>SUM(E4029:E4030)</f>
        <v>108</v>
      </c>
      <c r="F4028" s="69">
        <f>SUM(F4029:F4030)</f>
        <v>623.16</v>
      </c>
    </row>
    <row r="4029" ht="16.5" customHeight="1" spans="1:6">
      <c r="A4029" s="7"/>
      <c r="B4029" s="7" t="s">
        <v>841</v>
      </c>
      <c r="C4029" s="7" t="s">
        <v>840</v>
      </c>
      <c r="D4029" s="69">
        <f>D3980</f>
        <v>8.1</v>
      </c>
      <c r="E4029" s="42"/>
      <c r="F4029" s="69">
        <f>D4029*E4029</f>
        <v>0</v>
      </c>
    </row>
    <row r="4030" ht="16.5" customHeight="1" spans="1:6">
      <c r="A4030" s="7"/>
      <c r="B4030" s="7" t="s">
        <v>842</v>
      </c>
      <c r="C4030" s="7" t="s">
        <v>840</v>
      </c>
      <c r="D4030" s="69">
        <f>D3981</f>
        <v>5.77</v>
      </c>
      <c r="E4030" s="42">
        <v>108</v>
      </c>
      <c r="F4030" s="69">
        <f>D4030*E4030</f>
        <v>623.16</v>
      </c>
    </row>
    <row r="4031" ht="16.5" customHeight="1" spans="1:6">
      <c r="A4031" s="7">
        <v>2</v>
      </c>
      <c r="B4031" s="7" t="s">
        <v>1254</v>
      </c>
      <c r="C4031" s="9"/>
      <c r="D4031" s="38"/>
      <c r="E4031" s="38"/>
      <c r="F4031" s="38">
        <f>SUM(F4032:F4032)</f>
        <v>18.6948</v>
      </c>
    </row>
    <row r="4032" ht="16.5" customHeight="1" spans="1:6">
      <c r="A4032" s="7"/>
      <c r="B4032" s="7" t="s">
        <v>1004</v>
      </c>
      <c r="C4032" s="231">
        <v>0.03</v>
      </c>
      <c r="D4032" s="34"/>
      <c r="E4032" s="38"/>
      <c r="F4032" s="69">
        <f>F4028*C4032</f>
        <v>18.6948</v>
      </c>
    </row>
    <row r="4033" ht="16.5" customHeight="1" spans="1:6">
      <c r="A4033" s="7">
        <v>3</v>
      </c>
      <c r="B4033" s="7" t="s">
        <v>859</v>
      </c>
      <c r="C4033" s="9"/>
      <c r="D4033" s="34"/>
      <c r="E4033" s="34"/>
      <c r="F4033" s="34">
        <f>F4034</f>
        <v>463.900622417232</v>
      </c>
    </row>
    <row r="4034" ht="16.5" customHeight="1" spans="1:6">
      <c r="A4034" s="7"/>
      <c r="B4034" s="7" t="s">
        <v>1255</v>
      </c>
      <c r="C4034" s="7" t="s">
        <v>428</v>
      </c>
      <c r="D4034" s="34">
        <f>D4075</f>
        <v>118.94887754288</v>
      </c>
      <c r="E4034" s="34">
        <v>3.9</v>
      </c>
      <c r="F4034" s="34">
        <f>D4034*E4034</f>
        <v>463.900622417232</v>
      </c>
    </row>
    <row r="4035" ht="16.5" customHeight="1" spans="1:6">
      <c r="A4035" s="7" t="s">
        <v>564</v>
      </c>
      <c r="B4035" s="7" t="s">
        <v>846</v>
      </c>
      <c r="C4035" s="230">
        <f>取费表!C12</f>
        <v>0.048</v>
      </c>
      <c r="D4035" s="34"/>
      <c r="E4035" s="34">
        <f>F4027</f>
        <v>1105.75542241723</v>
      </c>
      <c r="F4035" s="34">
        <f>E4035*C4035</f>
        <v>53.0762602760271</v>
      </c>
    </row>
    <row r="4036" ht="16.5" customHeight="1" spans="1:6">
      <c r="A4036" s="7" t="s">
        <v>439</v>
      </c>
      <c r="B4036" s="7" t="s">
        <v>847</v>
      </c>
      <c r="C4036" s="230">
        <f>取费表!E12</f>
        <v>0.0725</v>
      </c>
      <c r="D4036" s="34"/>
      <c r="E4036" s="34">
        <f>F4026</f>
        <v>1158.83168269326</v>
      </c>
      <c r="F4036" s="34">
        <f>E4036*C4036</f>
        <v>84.0152969952613</v>
      </c>
    </row>
    <row r="4037" ht="16.5" customHeight="1" spans="1:6">
      <c r="A4037" s="7" t="s">
        <v>83</v>
      </c>
      <c r="B4037" s="7" t="s">
        <v>848</v>
      </c>
      <c r="C4037" s="230">
        <f>取费表!F12</f>
        <v>0.05</v>
      </c>
      <c r="D4037" s="69"/>
      <c r="E4037" s="34">
        <f>F4036+F4026</f>
        <v>1242.84697968852</v>
      </c>
      <c r="F4037" s="34">
        <f>E4037*C4037</f>
        <v>62.142348984426</v>
      </c>
    </row>
    <row r="4038" ht="16.5" customHeight="1" spans="1:6">
      <c r="A4038" s="7"/>
      <c r="B4038" s="7" t="s">
        <v>1256</v>
      </c>
      <c r="C4038" s="230" t="s">
        <v>863</v>
      </c>
      <c r="D4038" s="69">
        <f>D4059</f>
        <v>4.58</v>
      </c>
      <c r="E4038" s="34">
        <f>E4034*台时!C14</f>
        <v>55.38</v>
      </c>
      <c r="F4038" s="34">
        <f>D4038*E4038</f>
        <v>253.6404</v>
      </c>
    </row>
    <row r="4039" ht="16.5" customHeight="1" spans="1:6">
      <c r="A4039" s="7" t="s">
        <v>121</v>
      </c>
      <c r="B4039" s="7" t="s">
        <v>849</v>
      </c>
      <c r="C4039" s="231">
        <f>取费表!G12</f>
        <v>0.09</v>
      </c>
      <c r="D4039" s="38"/>
      <c r="E4039" s="34">
        <f>F4037+F4036+F4026+F4038</f>
        <v>1558.62972867295</v>
      </c>
      <c r="F4039" s="34">
        <f>E4039*C4039</f>
        <v>140.276675580565</v>
      </c>
    </row>
    <row r="4040" ht="16.5" customHeight="1" spans="1:6">
      <c r="A4040" s="7"/>
      <c r="B4040" s="7" t="s">
        <v>850</v>
      </c>
      <c r="C4040" s="231"/>
      <c r="D4040" s="38"/>
      <c r="E4040" s="34"/>
      <c r="F4040" s="34">
        <f>(F4026+F4036+F4037+F4038+F4039)*取费表!H4</f>
        <v>50.9671921276054</v>
      </c>
    </row>
    <row r="4041" ht="16.5" customHeight="1" spans="1:6">
      <c r="A4041" s="7"/>
      <c r="B4041" s="7" t="s">
        <v>156</v>
      </c>
      <c r="C4041" s="7"/>
      <c r="D4041" s="38"/>
      <c r="E4041" s="38"/>
      <c r="F4041" s="38">
        <f>F4039+E4039+F4040</f>
        <v>1749.87359638112</v>
      </c>
    </row>
    <row r="4042" ht="16.5" customHeight="1" spans="1:6">
      <c r="A4042" s="240" t="s">
        <v>828</v>
      </c>
      <c r="B4042" s="240"/>
      <c r="C4042" s="240"/>
      <c r="D4042" s="240"/>
      <c r="E4042" s="240"/>
      <c r="F4042" s="240"/>
    </row>
    <row r="4043" ht="16.5" customHeight="1" spans="1:6">
      <c r="A4043" s="296" t="s">
        <v>1257</v>
      </c>
      <c r="B4043" s="296"/>
      <c r="C4043" s="296"/>
      <c r="D4043" s="296"/>
      <c r="E4043" s="296"/>
      <c r="F4043" s="296"/>
    </row>
    <row r="4044" ht="16.5" customHeight="1" spans="1:6">
      <c r="A4044" s="227" t="s">
        <v>1258</v>
      </c>
      <c r="B4044" s="228"/>
      <c r="C4044" s="229"/>
      <c r="D4044" s="229"/>
      <c r="E4044" s="228" t="s">
        <v>832</v>
      </c>
      <c r="F4044" s="228"/>
    </row>
    <row r="4045" ht="16.5" customHeight="1" spans="1:6">
      <c r="A4045" s="146" t="s">
        <v>911</v>
      </c>
      <c r="B4045" s="233"/>
      <c r="C4045" s="233"/>
      <c r="D4045" s="233"/>
      <c r="E4045" s="233"/>
      <c r="F4045" s="147"/>
    </row>
    <row r="4046" ht="16.5" customHeight="1" spans="1:6">
      <c r="A4046" s="7" t="s">
        <v>104</v>
      </c>
      <c r="B4046" s="7" t="s">
        <v>835</v>
      </c>
      <c r="C4046" s="7" t="s">
        <v>159</v>
      </c>
      <c r="D4046" s="7" t="s">
        <v>422</v>
      </c>
      <c r="E4046" s="7" t="s">
        <v>160</v>
      </c>
      <c r="F4046" s="7" t="s">
        <v>18</v>
      </c>
    </row>
    <row r="4047" ht="16.5" customHeight="1" spans="1:6">
      <c r="A4047" s="7" t="s">
        <v>836</v>
      </c>
      <c r="B4047" s="7" t="s">
        <v>837</v>
      </c>
      <c r="C4047" s="7"/>
      <c r="D4047" s="7"/>
      <c r="E4047" s="7"/>
      <c r="F4047" s="34">
        <f>F4048+F4056</f>
        <v>2917.53045835615</v>
      </c>
    </row>
    <row r="4048" ht="16.5" customHeight="1" spans="1:6">
      <c r="A4048" s="7" t="s">
        <v>539</v>
      </c>
      <c r="B4048" s="7" t="s">
        <v>838</v>
      </c>
      <c r="C4048" s="7"/>
      <c r="D4048" s="7"/>
      <c r="E4048" s="7"/>
      <c r="F4048" s="34">
        <f>F4049+F4053</f>
        <v>2783.90310911847</v>
      </c>
    </row>
    <row r="4049" ht="16.5" customHeight="1" spans="1:6">
      <c r="A4049" s="7">
        <v>1</v>
      </c>
      <c r="B4049" s="7" t="s">
        <v>839</v>
      </c>
      <c r="C4049" s="7" t="s">
        <v>840</v>
      </c>
      <c r="D4049" s="69"/>
      <c r="E4049" s="42">
        <f>SUM(E4050:E4051)</f>
        <v>307.5</v>
      </c>
      <c r="F4049" s="69">
        <f>SUM(F4050:F4051)</f>
        <v>1774.275</v>
      </c>
    </row>
    <row r="4050" ht="16.5" customHeight="1" spans="1:6">
      <c r="A4050" s="7"/>
      <c r="B4050" s="7" t="s">
        <v>841</v>
      </c>
      <c r="C4050" s="7" t="s">
        <v>840</v>
      </c>
      <c r="D4050" s="69">
        <f>D4029</f>
        <v>8.1</v>
      </c>
      <c r="E4050" s="42"/>
      <c r="F4050" s="69">
        <f>D4050*E4050</f>
        <v>0</v>
      </c>
    </row>
    <row r="4051" ht="16.5" customHeight="1" spans="1:6">
      <c r="A4051" s="7"/>
      <c r="B4051" s="7" t="s">
        <v>842</v>
      </c>
      <c r="C4051" s="7" t="s">
        <v>840</v>
      </c>
      <c r="D4051" s="69">
        <f>D4030</f>
        <v>5.77</v>
      </c>
      <c r="E4051" s="42">
        <v>307.5</v>
      </c>
      <c r="F4051" s="69">
        <f>D4051*E4051</f>
        <v>1774.275</v>
      </c>
    </row>
    <row r="4052" ht="16.5" customHeight="1" spans="1:6">
      <c r="A4052" s="7">
        <v>2</v>
      </c>
      <c r="B4052" s="7" t="s">
        <v>1254</v>
      </c>
      <c r="C4052" s="9"/>
      <c r="D4052" s="38"/>
      <c r="E4052" s="38"/>
      <c r="F4052" s="38"/>
    </row>
    <row r="4053" ht="16.5" customHeight="1" spans="1:6">
      <c r="A4053" s="7">
        <v>3</v>
      </c>
      <c r="B4053" s="7" t="s">
        <v>859</v>
      </c>
      <c r="C4053" s="9"/>
      <c r="D4053" s="34"/>
      <c r="E4053" s="34"/>
      <c r="F4053" s="34">
        <f>F4054+F4055</f>
        <v>1009.62810911847</v>
      </c>
    </row>
    <row r="4054" ht="16.5" customHeight="1" spans="1:6">
      <c r="A4054" s="7"/>
      <c r="B4054" s="7" t="s">
        <v>1259</v>
      </c>
      <c r="C4054" s="7" t="s">
        <v>428</v>
      </c>
      <c r="D4054" s="34">
        <f>D4075</f>
        <v>118.94887754288</v>
      </c>
      <c r="E4054" s="34">
        <v>3.48</v>
      </c>
      <c r="F4054" s="34">
        <f>D4054*E4054</f>
        <v>413.942093849222</v>
      </c>
    </row>
    <row r="4055" ht="16.5" customHeight="1" spans="1:6">
      <c r="A4055" s="7"/>
      <c r="B4055" s="7" t="s">
        <v>915</v>
      </c>
      <c r="C4055" s="7" t="s">
        <v>428</v>
      </c>
      <c r="D4055" s="34">
        <f>台时!E21</f>
        <v>89.4423446350219</v>
      </c>
      <c r="E4055" s="34">
        <v>6.66</v>
      </c>
      <c r="F4055" s="34">
        <f>D4055*E4055</f>
        <v>595.686015269246</v>
      </c>
    </row>
    <row r="4056" ht="16.5" customHeight="1" spans="1:6">
      <c r="A4056" s="7" t="s">
        <v>564</v>
      </c>
      <c r="B4056" s="7" t="s">
        <v>846</v>
      </c>
      <c r="C4056" s="230">
        <f>C4035</f>
        <v>0.048</v>
      </c>
      <c r="D4056" s="34"/>
      <c r="E4056" s="34">
        <f>F4048</f>
        <v>2783.90310911847</v>
      </c>
      <c r="F4056" s="34">
        <f>E4056*C4056</f>
        <v>133.627349237686</v>
      </c>
    </row>
    <row r="4057" ht="16.5" customHeight="1" spans="1:6">
      <c r="A4057" s="7" t="s">
        <v>439</v>
      </c>
      <c r="B4057" s="7" t="s">
        <v>847</v>
      </c>
      <c r="C4057" s="230">
        <f>C4036</f>
        <v>0.0725</v>
      </c>
      <c r="D4057" s="34"/>
      <c r="E4057" s="34">
        <f>F4047</f>
        <v>2917.53045835615</v>
      </c>
      <c r="F4057" s="34">
        <f>E4057*C4057</f>
        <v>211.520958230821</v>
      </c>
    </row>
    <row r="4058" ht="16.5" customHeight="1" spans="1:6">
      <c r="A4058" s="7" t="s">
        <v>83</v>
      </c>
      <c r="B4058" s="7" t="s">
        <v>848</v>
      </c>
      <c r="C4058" s="230">
        <f>C4037</f>
        <v>0.05</v>
      </c>
      <c r="D4058" s="69"/>
      <c r="E4058" s="34">
        <f>F4057+F4047</f>
        <v>3129.05141658698</v>
      </c>
      <c r="F4058" s="34">
        <f>E4058*C4058</f>
        <v>156.452570829349</v>
      </c>
    </row>
    <row r="4059" ht="16.5" customHeight="1" spans="1:6">
      <c r="A4059" s="7"/>
      <c r="B4059" s="7" t="s">
        <v>1256</v>
      </c>
      <c r="C4059" s="230" t="s">
        <v>863</v>
      </c>
      <c r="D4059" s="69">
        <f>D4080</f>
        <v>4.58</v>
      </c>
      <c r="E4059" s="34">
        <f>E4054*台时!C14+新定额单价!E4055*台时!E14</f>
        <v>120.012</v>
      </c>
      <c r="F4059" s="34">
        <f>D4059*E4059</f>
        <v>549.65496</v>
      </c>
    </row>
    <row r="4060" ht="16.5" customHeight="1" spans="1:6">
      <c r="A4060" s="7" t="s">
        <v>121</v>
      </c>
      <c r="B4060" s="7" t="s">
        <v>849</v>
      </c>
      <c r="C4060" s="231">
        <f>C4039</f>
        <v>0.09</v>
      </c>
      <c r="D4060" s="38"/>
      <c r="E4060" s="34">
        <f>F4058+F4057+F4047+F4059</f>
        <v>3835.15894741632</v>
      </c>
      <c r="F4060" s="34">
        <f>E4060*C4060</f>
        <v>345.164305267469</v>
      </c>
    </row>
    <row r="4061" ht="16.5" customHeight="1" spans="1:6">
      <c r="A4061" s="7"/>
      <c r="B4061" s="7" t="s">
        <v>850</v>
      </c>
      <c r="C4061" s="231"/>
      <c r="D4061" s="38"/>
      <c r="E4061" s="34"/>
      <c r="F4061" s="34">
        <f>(F4047+F4057+F4058+F4059+F4060)*取费表!H12</f>
        <v>125.409697580514</v>
      </c>
    </row>
    <row r="4062" ht="16.5" customHeight="1" spans="1:6">
      <c r="A4062" s="7"/>
      <c r="B4062" s="7" t="s">
        <v>156</v>
      </c>
      <c r="C4062" s="7"/>
      <c r="D4062" s="38"/>
      <c r="E4062" s="38"/>
      <c r="F4062" s="38">
        <f>F4060+E4060+F4061</f>
        <v>4305.7329502643</v>
      </c>
    </row>
    <row r="4063" ht="16.5" customHeight="1" spans="1:6">
      <c r="A4063" s="240" t="s">
        <v>828</v>
      </c>
      <c r="B4063" s="240"/>
      <c r="C4063" s="240"/>
      <c r="D4063" s="240"/>
      <c r="E4063" s="240"/>
      <c r="F4063" s="240"/>
    </row>
    <row r="4064" ht="16.5" customHeight="1" spans="1:6">
      <c r="A4064" s="296" t="s">
        <v>1260</v>
      </c>
      <c r="B4064" s="296"/>
      <c r="C4064" s="296"/>
      <c r="D4064" s="296"/>
      <c r="E4064" s="296"/>
      <c r="F4064" s="296"/>
    </row>
    <row r="4065" ht="16.5" customHeight="1" spans="1:6">
      <c r="A4065" s="227" t="s">
        <v>1261</v>
      </c>
      <c r="B4065" s="228"/>
      <c r="C4065" s="229"/>
      <c r="D4065" s="229"/>
      <c r="E4065" s="228" t="s">
        <v>832</v>
      </c>
      <c r="F4065" s="228"/>
    </row>
    <row r="4066" ht="16.5" customHeight="1" spans="1:6">
      <c r="A4066" s="146" t="s">
        <v>911</v>
      </c>
      <c r="B4066" s="233"/>
      <c r="C4066" s="233"/>
      <c r="D4066" s="233"/>
      <c r="E4066" s="233"/>
      <c r="F4066" s="147"/>
    </row>
    <row r="4067" ht="16.5" customHeight="1" spans="1:6">
      <c r="A4067" s="7" t="s">
        <v>104</v>
      </c>
      <c r="B4067" s="7" t="s">
        <v>835</v>
      </c>
      <c r="C4067" s="7" t="s">
        <v>159</v>
      </c>
      <c r="D4067" s="7" t="s">
        <v>422</v>
      </c>
      <c r="E4067" s="7" t="s">
        <v>160</v>
      </c>
      <c r="F4067" s="7" t="s">
        <v>18</v>
      </c>
    </row>
    <row r="4068" ht="16.5" customHeight="1" spans="1:6">
      <c r="A4068" s="7" t="s">
        <v>836</v>
      </c>
      <c r="B4068" s="7" t="s">
        <v>837</v>
      </c>
      <c r="C4068" s="7"/>
      <c r="D4068" s="7"/>
      <c r="E4068" s="7"/>
      <c r="F4068" s="34">
        <f>F4069+F4076+F4077</f>
        <v>4229.92194922569</v>
      </c>
    </row>
    <row r="4069" ht="16.5" customHeight="1" spans="1:6">
      <c r="A4069" s="7" t="s">
        <v>539</v>
      </c>
      <c r="B4069" s="7" t="s">
        <v>838</v>
      </c>
      <c r="C4069" s="7"/>
      <c r="D4069" s="7"/>
      <c r="E4069" s="7"/>
      <c r="F4069" s="34">
        <f>F4070+F4073+F4074</f>
        <v>4036.18506605505</v>
      </c>
    </row>
    <row r="4070" ht="16.5" customHeight="1" spans="1:6">
      <c r="A4070" s="7">
        <v>1</v>
      </c>
      <c r="B4070" s="7" t="s">
        <v>839</v>
      </c>
      <c r="C4070" s="7" t="s">
        <v>840</v>
      </c>
      <c r="D4070" s="69"/>
      <c r="E4070" s="42">
        <f>SUM(E4071:E4072)</f>
        <v>12</v>
      </c>
      <c r="F4070" s="69">
        <f>SUM(F4071:F4072)</f>
        <v>69.24</v>
      </c>
    </row>
    <row r="4071" ht="16.5" customHeight="1" spans="1:6">
      <c r="A4071" s="7"/>
      <c r="B4071" s="7" t="s">
        <v>841</v>
      </c>
      <c r="C4071" s="7" t="s">
        <v>840</v>
      </c>
      <c r="D4071" s="69">
        <f>D4029</f>
        <v>8.1</v>
      </c>
      <c r="E4071" s="42"/>
      <c r="F4071" s="69">
        <f>D4071*E4071</f>
        <v>0</v>
      </c>
    </row>
    <row r="4072" ht="16.5" customHeight="1" spans="1:6">
      <c r="A4072" s="7"/>
      <c r="B4072" s="7" t="s">
        <v>842</v>
      </c>
      <c r="C4072" s="7" t="s">
        <v>840</v>
      </c>
      <c r="D4072" s="69">
        <f>D4030</f>
        <v>5.77</v>
      </c>
      <c r="E4072" s="42">
        <v>12</v>
      </c>
      <c r="F4072" s="69">
        <f>D4072*E4072</f>
        <v>69.24</v>
      </c>
    </row>
    <row r="4073" ht="16.5" customHeight="1" spans="1:6">
      <c r="A4073" s="7">
        <v>2</v>
      </c>
      <c r="B4073" s="7" t="s">
        <v>1254</v>
      </c>
      <c r="C4073" s="9"/>
      <c r="D4073" s="38"/>
      <c r="E4073" s="38"/>
      <c r="F4073" s="38"/>
    </row>
    <row r="4074" ht="16.5" customHeight="1" spans="1:6">
      <c r="A4074" s="7">
        <v>3</v>
      </c>
      <c r="B4074" s="7" t="s">
        <v>859</v>
      </c>
      <c r="C4074" s="9"/>
      <c r="D4074" s="34"/>
      <c r="E4074" s="34"/>
      <c r="F4074" s="34">
        <f>F4075</f>
        <v>3966.94506605505</v>
      </c>
    </row>
    <row r="4075" ht="16.5" customHeight="1" spans="1:6">
      <c r="A4075" s="7"/>
      <c r="B4075" s="7" t="s">
        <v>1255</v>
      </c>
      <c r="C4075" s="7" t="s">
        <v>428</v>
      </c>
      <c r="D4075" s="34">
        <f>台时!C21</f>
        <v>118.94887754288</v>
      </c>
      <c r="E4075" s="34">
        <v>33.35</v>
      </c>
      <c r="F4075" s="34">
        <f>D4075*E4075</f>
        <v>3966.94506605505</v>
      </c>
    </row>
    <row r="4076" ht="16.5" customHeight="1" spans="1:6">
      <c r="A4076" s="7" t="s">
        <v>564</v>
      </c>
      <c r="B4076" s="7" t="s">
        <v>846</v>
      </c>
      <c r="C4076" s="230">
        <f>取费表!C12</f>
        <v>0.048</v>
      </c>
      <c r="D4076" s="34"/>
      <c r="E4076" s="34">
        <f>F4069</f>
        <v>4036.18506605505</v>
      </c>
      <c r="F4076" s="34">
        <f>E4076*C4076</f>
        <v>193.736883170642</v>
      </c>
    </row>
    <row r="4077" ht="16.5" customHeight="1" spans="1:6">
      <c r="A4077" s="7"/>
      <c r="B4077" s="7"/>
      <c r="C4077" s="230"/>
      <c r="D4077" s="34"/>
      <c r="E4077" s="34"/>
      <c r="F4077" s="34"/>
    </row>
    <row r="4078" ht="16.5" customHeight="1" spans="1:6">
      <c r="A4078" s="7" t="s">
        <v>439</v>
      </c>
      <c r="B4078" s="7" t="s">
        <v>847</v>
      </c>
      <c r="C4078" s="230">
        <f>取费表!E12</f>
        <v>0.0725</v>
      </c>
      <c r="D4078" s="34"/>
      <c r="E4078" s="34">
        <f>F4068</f>
        <v>4229.92194922569</v>
      </c>
      <c r="F4078" s="34">
        <f>E4078*C4078</f>
        <v>306.669341318862</v>
      </c>
    </row>
    <row r="4079" ht="16.5" customHeight="1" spans="1:6">
      <c r="A4079" s="7" t="s">
        <v>83</v>
      </c>
      <c r="B4079" s="7" t="s">
        <v>848</v>
      </c>
      <c r="C4079" s="230">
        <f>取费表!F12</f>
        <v>0.05</v>
      </c>
      <c r="D4079" s="69"/>
      <c r="E4079" s="34">
        <f>F4078+F4068</f>
        <v>4536.59129054455</v>
      </c>
      <c r="F4079" s="34">
        <f>E4079*C4079</f>
        <v>226.829564527228</v>
      </c>
    </row>
    <row r="4080" ht="16.5" customHeight="1" spans="1:6">
      <c r="A4080" s="7"/>
      <c r="B4080" s="7" t="s">
        <v>1256</v>
      </c>
      <c r="C4080" s="230" t="s">
        <v>863</v>
      </c>
      <c r="D4080" s="69">
        <f>D4101</f>
        <v>4.58</v>
      </c>
      <c r="E4080" s="34">
        <f>E4075*台时!C14</f>
        <v>473.57</v>
      </c>
      <c r="F4080" s="34">
        <f>D4080*E4080</f>
        <v>2168.9506</v>
      </c>
    </row>
    <row r="4081" ht="16.5" customHeight="1" spans="1:6">
      <c r="A4081" s="7" t="s">
        <v>121</v>
      </c>
      <c r="B4081" s="7" t="s">
        <v>849</v>
      </c>
      <c r="C4081" s="231">
        <f>取费表!G12</f>
        <v>0.09</v>
      </c>
      <c r="D4081" s="38"/>
      <c r="E4081" s="34">
        <f>F4079+F4078+F4068+F4080</f>
        <v>6932.37145507178</v>
      </c>
      <c r="F4081" s="34">
        <f>E4081*C4081</f>
        <v>623.91343095646</v>
      </c>
    </row>
    <row r="4082" ht="16.5" customHeight="1" spans="1:6">
      <c r="A4082" s="7"/>
      <c r="B4082" s="7" t="s">
        <v>850</v>
      </c>
      <c r="C4082" s="231"/>
      <c r="D4082" s="38"/>
      <c r="E4082" s="34"/>
      <c r="F4082" s="34">
        <f>(F4068+F4078+F4079+F4081)*取费表!H4</f>
        <v>161.620028580847</v>
      </c>
    </row>
    <row r="4083" ht="16.5" customHeight="1" spans="1:6">
      <c r="A4083" s="7"/>
      <c r="B4083" s="7" t="s">
        <v>156</v>
      </c>
      <c r="C4083" s="7"/>
      <c r="D4083" s="38"/>
      <c r="E4083" s="38"/>
      <c r="F4083" s="38">
        <f>F4081+E4081+F4082</f>
        <v>7717.90491460909</v>
      </c>
    </row>
    <row r="4084" ht="16.5" customHeight="1" spans="1:6">
      <c r="A4084" s="240" t="s">
        <v>828</v>
      </c>
      <c r="B4084" s="240"/>
      <c r="C4084" s="240"/>
      <c r="D4084" s="240"/>
      <c r="E4084" s="240"/>
      <c r="F4084" s="240"/>
    </row>
    <row r="4085" ht="16.5" customHeight="1" spans="1:6">
      <c r="A4085" s="296" t="s">
        <v>1262</v>
      </c>
      <c r="B4085" s="296"/>
      <c r="C4085" s="296"/>
      <c r="D4085" s="296"/>
      <c r="E4085" s="296"/>
      <c r="F4085" s="296"/>
    </row>
    <row r="4086" ht="16.5" customHeight="1" spans="1:6">
      <c r="A4086" s="227" t="s">
        <v>1261</v>
      </c>
      <c r="B4086" s="228"/>
      <c r="C4086" s="229"/>
      <c r="D4086" s="229"/>
      <c r="E4086" s="228" t="s">
        <v>832</v>
      </c>
      <c r="F4086" s="228"/>
    </row>
    <row r="4087" ht="16.5" customHeight="1" spans="1:6">
      <c r="A4087" s="146" t="s">
        <v>911</v>
      </c>
      <c r="B4087" s="233"/>
      <c r="C4087" s="233"/>
      <c r="D4087" s="233"/>
      <c r="E4087" s="233"/>
      <c r="F4087" s="147"/>
    </row>
    <row r="4088" ht="16.5" customHeight="1" spans="1:6">
      <c r="A4088" s="7" t="s">
        <v>104</v>
      </c>
      <c r="B4088" s="7" t="s">
        <v>835</v>
      </c>
      <c r="C4088" s="7" t="s">
        <v>159</v>
      </c>
      <c r="D4088" s="7" t="s">
        <v>422</v>
      </c>
      <c r="E4088" s="7" t="s">
        <v>160</v>
      </c>
      <c r="F4088" s="7" t="s">
        <v>18</v>
      </c>
    </row>
    <row r="4089" ht="16.5" customHeight="1" spans="1:6">
      <c r="A4089" s="7" t="s">
        <v>836</v>
      </c>
      <c r="B4089" s="7" t="s">
        <v>837</v>
      </c>
      <c r="C4089" s="7"/>
      <c r="D4089" s="7"/>
      <c r="E4089" s="7"/>
      <c r="F4089" s="34">
        <f>F4090+F4097+F4098</f>
        <v>5498.8985339934</v>
      </c>
    </row>
    <row r="4090" ht="16.5" customHeight="1" spans="1:6">
      <c r="A4090" s="7" t="s">
        <v>539</v>
      </c>
      <c r="B4090" s="7" t="s">
        <v>838</v>
      </c>
      <c r="C4090" s="7"/>
      <c r="D4090" s="7"/>
      <c r="E4090" s="7"/>
      <c r="F4090" s="34">
        <f>F4091+F4094+F4095</f>
        <v>5247.04058587156</v>
      </c>
    </row>
    <row r="4091" ht="16.5" customHeight="1" spans="1:6">
      <c r="A4091" s="7">
        <v>1</v>
      </c>
      <c r="B4091" s="7" t="s">
        <v>839</v>
      </c>
      <c r="C4091" s="7" t="s">
        <v>840</v>
      </c>
      <c r="D4091" s="69"/>
      <c r="E4091" s="42">
        <f>SUM(E4092:E4093)</f>
        <v>15.6</v>
      </c>
      <c r="F4091" s="69">
        <f>SUM(F4092:F4093)</f>
        <v>90.012</v>
      </c>
    </row>
    <row r="4092" ht="16.5" customHeight="1" spans="1:6">
      <c r="A4092" s="7"/>
      <c r="B4092" s="7" t="s">
        <v>841</v>
      </c>
      <c r="C4092" s="7" t="s">
        <v>840</v>
      </c>
      <c r="D4092" s="69">
        <f>D4071</f>
        <v>8.1</v>
      </c>
      <c r="E4092" s="42"/>
      <c r="F4092" s="69">
        <f>D4092*E4092</f>
        <v>0</v>
      </c>
    </row>
    <row r="4093" ht="16.5" customHeight="1" spans="1:6">
      <c r="A4093" s="7"/>
      <c r="B4093" s="7" t="s">
        <v>842</v>
      </c>
      <c r="C4093" s="7" t="s">
        <v>840</v>
      </c>
      <c r="D4093" s="69">
        <f>D4072</f>
        <v>5.77</v>
      </c>
      <c r="E4093" s="42">
        <f>12*1.3</f>
        <v>15.6</v>
      </c>
      <c r="F4093" s="69">
        <f>D4093*E4093</f>
        <v>90.012</v>
      </c>
    </row>
    <row r="4094" ht="16.5" customHeight="1" spans="1:6">
      <c r="A4094" s="7">
        <v>2</v>
      </c>
      <c r="B4094" s="7" t="s">
        <v>1254</v>
      </c>
      <c r="C4094" s="9"/>
      <c r="D4094" s="38"/>
      <c r="E4094" s="38"/>
      <c r="F4094" s="38"/>
    </row>
    <row r="4095" ht="16.5" customHeight="1" spans="1:6">
      <c r="A4095" s="7">
        <v>3</v>
      </c>
      <c r="B4095" s="7" t="s">
        <v>859</v>
      </c>
      <c r="C4095" s="9"/>
      <c r="D4095" s="34"/>
      <c r="E4095" s="34"/>
      <c r="F4095" s="34">
        <f>F4096</f>
        <v>5157.02858587156</v>
      </c>
    </row>
    <row r="4096" ht="16.5" customHeight="1" spans="1:6">
      <c r="A4096" s="7"/>
      <c r="B4096" s="7" t="s">
        <v>1263</v>
      </c>
      <c r="C4096" s="7" t="s">
        <v>428</v>
      </c>
      <c r="D4096" s="34">
        <f>D4075</f>
        <v>118.94887754288</v>
      </c>
      <c r="E4096" s="34">
        <f>33.35*1.3</f>
        <v>43.355</v>
      </c>
      <c r="F4096" s="34">
        <f>D4096*E4096</f>
        <v>5157.02858587156</v>
      </c>
    </row>
    <row r="4097" ht="16.5" customHeight="1" spans="1:6">
      <c r="A4097" s="7" t="s">
        <v>564</v>
      </c>
      <c r="B4097" s="7" t="s">
        <v>846</v>
      </c>
      <c r="C4097" s="230">
        <f>取费表!C12</f>
        <v>0.048</v>
      </c>
      <c r="D4097" s="34"/>
      <c r="E4097" s="34">
        <f>F4090</f>
        <v>5247.04058587156</v>
      </c>
      <c r="F4097" s="34">
        <f>E4097*C4097</f>
        <v>251.857948121835</v>
      </c>
    </row>
    <row r="4098" ht="16.5" customHeight="1" spans="1:6">
      <c r="A4098" s="7"/>
      <c r="B4098" s="7"/>
      <c r="C4098" s="230"/>
      <c r="D4098" s="34"/>
      <c r="E4098" s="34"/>
      <c r="F4098" s="34"/>
    </row>
    <row r="4099" ht="16.5" customHeight="1" spans="1:6">
      <c r="A4099" s="7" t="s">
        <v>439</v>
      </c>
      <c r="B4099" s="7" t="s">
        <v>847</v>
      </c>
      <c r="C4099" s="230">
        <f>取费表!E12</f>
        <v>0.0725</v>
      </c>
      <c r="D4099" s="34"/>
      <c r="E4099" s="34">
        <f>F4089</f>
        <v>5498.8985339934</v>
      </c>
      <c r="F4099" s="34">
        <f>E4099*C4099</f>
        <v>398.670143714521</v>
      </c>
    </row>
    <row r="4100" ht="16.5" customHeight="1" spans="1:6">
      <c r="A4100" s="7" t="s">
        <v>83</v>
      </c>
      <c r="B4100" s="7" t="s">
        <v>848</v>
      </c>
      <c r="C4100" s="230">
        <f>取费表!F12</f>
        <v>0.05</v>
      </c>
      <c r="D4100" s="69"/>
      <c r="E4100" s="34">
        <f>F4099+F4089</f>
        <v>5897.56867770792</v>
      </c>
      <c r="F4100" s="34">
        <f>E4100*C4100</f>
        <v>294.878433885396</v>
      </c>
    </row>
    <row r="4101" ht="16.5" customHeight="1" spans="1:6">
      <c r="A4101" s="7"/>
      <c r="B4101" s="7" t="s">
        <v>1256</v>
      </c>
      <c r="C4101" s="230" t="s">
        <v>863</v>
      </c>
      <c r="D4101" s="69">
        <f>材料预算价!K11-材料预算价!L11</f>
        <v>4.58</v>
      </c>
      <c r="E4101" s="34">
        <f>E4096*台时!C14</f>
        <v>615.641</v>
      </c>
      <c r="F4101" s="34">
        <f>D4101*E4101</f>
        <v>2819.63578</v>
      </c>
    </row>
    <row r="4102" ht="16.5" customHeight="1" spans="1:6">
      <c r="A4102" s="7" t="s">
        <v>121</v>
      </c>
      <c r="B4102" s="7" t="s">
        <v>849</v>
      </c>
      <c r="C4102" s="231">
        <f>取费表!G12</f>
        <v>0.09</v>
      </c>
      <c r="D4102" s="38"/>
      <c r="E4102" s="34">
        <f>F4100+F4099+F4089+F4101</f>
        <v>9012.08289159332</v>
      </c>
      <c r="F4102" s="34">
        <f>E4102*C4102</f>
        <v>811.087460243398</v>
      </c>
    </row>
    <row r="4103" ht="16.5" customHeight="1" spans="1:6">
      <c r="A4103" s="7"/>
      <c r="B4103" s="7" t="s">
        <v>850</v>
      </c>
      <c r="C4103" s="231"/>
      <c r="D4103" s="38"/>
      <c r="E4103" s="34"/>
      <c r="F4103" s="34">
        <f>(F4089+F4099+F4100+F4101+F4102)*取费表!H4</f>
        <v>294.695110555101</v>
      </c>
    </row>
    <row r="4104" ht="16.5" customHeight="1" spans="1:6">
      <c r="A4104" s="7"/>
      <c r="B4104" s="7" t="s">
        <v>156</v>
      </c>
      <c r="C4104" s="7"/>
      <c r="D4104" s="38"/>
      <c r="E4104" s="38"/>
      <c r="F4104" s="38">
        <f>E4102+F4102+F4103</f>
        <v>10117.8654623918</v>
      </c>
    </row>
    <row r="4105" ht="15.6" customHeight="1" spans="1:6">
      <c r="A4105" s="248" t="s">
        <v>881</v>
      </c>
      <c r="B4105" s="225"/>
      <c r="C4105" s="225"/>
      <c r="D4105" s="225"/>
      <c r="E4105" s="225"/>
      <c r="F4105" s="225"/>
    </row>
    <row r="4106" ht="15.6" customHeight="1" spans="1:6">
      <c r="A4106" s="278" t="s">
        <v>1264</v>
      </c>
      <c r="B4106" s="272"/>
      <c r="C4106" s="272"/>
      <c r="D4106" s="272"/>
      <c r="E4106" s="272"/>
      <c r="F4106" s="272"/>
    </row>
    <row r="4107" ht="15.6" customHeight="1" spans="1:6">
      <c r="A4107" s="227" t="s">
        <v>1265</v>
      </c>
      <c r="B4107" s="227"/>
      <c r="C4107" s="272"/>
      <c r="D4107" s="272"/>
      <c r="E4107" s="228" t="s">
        <v>832</v>
      </c>
      <c r="F4107" s="228"/>
    </row>
    <row r="4108" ht="15.6" customHeight="1" spans="1:6">
      <c r="A4108" s="146" t="s">
        <v>911</v>
      </c>
      <c r="B4108" s="233"/>
      <c r="C4108" s="233"/>
      <c r="D4108" s="233"/>
      <c r="E4108" s="233"/>
      <c r="F4108" s="147"/>
    </row>
    <row r="4109" ht="15.6" customHeight="1" spans="1:6">
      <c r="A4109" s="7" t="s">
        <v>104</v>
      </c>
      <c r="B4109" s="7" t="s">
        <v>835</v>
      </c>
      <c r="C4109" s="7" t="s">
        <v>159</v>
      </c>
      <c r="D4109" s="7" t="s">
        <v>422</v>
      </c>
      <c r="E4109" s="7" t="s">
        <v>160</v>
      </c>
      <c r="F4109" s="7" t="s">
        <v>18</v>
      </c>
    </row>
    <row r="4110" ht="15.6" customHeight="1" spans="1:6">
      <c r="A4110" s="7" t="s">
        <v>1105</v>
      </c>
      <c r="B4110" s="7" t="s">
        <v>837</v>
      </c>
      <c r="C4110" s="7"/>
      <c r="D4110" s="7"/>
      <c r="E4110" s="7"/>
      <c r="F4110" s="34">
        <f>F4111+F4127+F4128</f>
        <v>35770.1139393448</v>
      </c>
    </row>
    <row r="4111" ht="15.6" customHeight="1" spans="1:6">
      <c r="A4111" s="7" t="s">
        <v>539</v>
      </c>
      <c r="B4111" s="7" t="s">
        <v>838</v>
      </c>
      <c r="C4111" s="7"/>
      <c r="D4111" s="7"/>
      <c r="E4111" s="7"/>
      <c r="F4111" s="34">
        <f>F4112+F4115+F4121</f>
        <v>34131.7881100618</v>
      </c>
    </row>
    <row r="4112" ht="15.6" customHeight="1" spans="1:6">
      <c r="A4112" s="7">
        <v>1</v>
      </c>
      <c r="B4112" s="7" t="s">
        <v>839</v>
      </c>
      <c r="C4112" s="7" t="s">
        <v>840</v>
      </c>
      <c r="D4112" s="34"/>
      <c r="E4112" s="42">
        <f>SUM(E4113:E4114)</f>
        <v>1866.2</v>
      </c>
      <c r="F4112" s="69">
        <f>SUM(F4113:F4114)</f>
        <v>13755.267</v>
      </c>
    </row>
    <row r="4113" ht="15.6" customHeight="1" spans="1:6">
      <c r="A4113" s="7"/>
      <c r="B4113" s="7" t="s">
        <v>841</v>
      </c>
      <c r="C4113" s="7" t="s">
        <v>840</v>
      </c>
      <c r="D4113" s="69">
        <f>D4092</f>
        <v>8.1</v>
      </c>
      <c r="E4113" s="42">
        <v>1282.1</v>
      </c>
      <c r="F4113" s="69">
        <f t="shared" ref="F4113:F4119" si="248">D4113*E4113</f>
        <v>10385.01</v>
      </c>
    </row>
    <row r="4114" ht="15.6" customHeight="1" spans="1:6">
      <c r="A4114" s="7"/>
      <c r="B4114" s="7" t="s">
        <v>842</v>
      </c>
      <c r="C4114" s="7" t="s">
        <v>840</v>
      </c>
      <c r="D4114" s="69">
        <f>D4093</f>
        <v>5.77</v>
      </c>
      <c r="E4114" s="42">
        <v>584.1</v>
      </c>
      <c r="F4114" s="69">
        <f t="shared" si="248"/>
        <v>3370.257</v>
      </c>
    </row>
    <row r="4115" ht="15.6" customHeight="1" spans="1:6">
      <c r="A4115" s="7">
        <v>2</v>
      </c>
      <c r="B4115" s="7" t="s">
        <v>912</v>
      </c>
      <c r="C4115" s="7"/>
      <c r="D4115" s="34"/>
      <c r="E4115" s="34"/>
      <c r="F4115" s="34">
        <f>SUM(F4116:F4120)</f>
        <v>19671.95540469</v>
      </c>
    </row>
    <row r="4116" ht="15.6" customHeight="1" spans="1:6">
      <c r="A4116" s="7"/>
      <c r="B4116" s="273" t="s">
        <v>1066</v>
      </c>
      <c r="C4116" s="273" t="s">
        <v>863</v>
      </c>
      <c r="D4116" s="34">
        <f>基础材料表!D34</f>
        <v>4.44</v>
      </c>
      <c r="E4116" s="34">
        <v>116.41</v>
      </c>
      <c r="F4116" s="34">
        <f t="shared" si="248"/>
        <v>516.8604</v>
      </c>
    </row>
    <row r="4117" ht="15.6" customHeight="1" spans="1:6">
      <c r="A4117" s="7"/>
      <c r="B4117" s="273" t="s">
        <v>1000</v>
      </c>
      <c r="C4117" s="273" t="s">
        <v>863</v>
      </c>
      <c r="D4117" s="34">
        <f>基础材料表!D28</f>
        <v>4.5</v>
      </c>
      <c r="E4117" s="34">
        <v>24.59</v>
      </c>
      <c r="F4117" s="34">
        <f t="shared" si="248"/>
        <v>110.655</v>
      </c>
    </row>
    <row r="4118" ht="15.6" customHeight="1" spans="1:6">
      <c r="A4118" s="7"/>
      <c r="B4118" s="7" t="s">
        <v>1003</v>
      </c>
      <c r="C4118" s="7" t="s">
        <v>169</v>
      </c>
      <c r="D4118" s="34">
        <f>配合比!M8</f>
        <v>176.3536095</v>
      </c>
      <c r="E4118" s="34">
        <v>102</v>
      </c>
      <c r="F4118" s="34">
        <f t="shared" si="248"/>
        <v>17988.068169</v>
      </c>
    </row>
    <row r="4119" ht="15.6" customHeight="1" spans="1:6">
      <c r="A4119" s="7"/>
      <c r="B4119" s="7" t="s">
        <v>913</v>
      </c>
      <c r="C4119" s="7" t="s">
        <v>169</v>
      </c>
      <c r="D4119" s="34">
        <f>材料预算价!K13</f>
        <v>3.59</v>
      </c>
      <c r="E4119" s="34">
        <v>240</v>
      </c>
      <c r="F4119" s="34">
        <f t="shared" si="248"/>
        <v>861.6</v>
      </c>
    </row>
    <row r="4120" ht="15.6" customHeight="1" spans="1:6">
      <c r="A4120" s="7"/>
      <c r="B4120" s="7" t="s">
        <v>1004</v>
      </c>
      <c r="C4120" s="9" t="s">
        <v>845</v>
      </c>
      <c r="D4120" s="34">
        <f>SUM(F4116:F4119)</f>
        <v>19477.183569</v>
      </c>
      <c r="E4120" s="34">
        <v>1</v>
      </c>
      <c r="F4120" s="34">
        <f>D4120*E4120/100</f>
        <v>194.77183569</v>
      </c>
    </row>
    <row r="4121" ht="15.6" customHeight="1" spans="1:6">
      <c r="A4121" s="7">
        <v>3</v>
      </c>
      <c r="B4121" s="7" t="s">
        <v>859</v>
      </c>
      <c r="C4121" s="7"/>
      <c r="D4121" s="34"/>
      <c r="E4121" s="34"/>
      <c r="F4121" s="34">
        <f>SUM(F4122:F4126)</f>
        <v>704.565705371839</v>
      </c>
    </row>
    <row r="4122" ht="15.6" customHeight="1" spans="1:6">
      <c r="A4122" s="7"/>
      <c r="B4122" s="7" t="s">
        <v>1008</v>
      </c>
      <c r="C4122" s="7" t="s">
        <v>428</v>
      </c>
      <c r="D4122" s="34">
        <f>台时!D42</f>
        <v>23.9179521340247</v>
      </c>
      <c r="E4122" s="34">
        <v>18.36</v>
      </c>
      <c r="F4122" s="34">
        <f>D4122*E4122</f>
        <v>439.133601180694</v>
      </c>
    </row>
    <row r="4123" ht="15.6" customHeight="1" spans="1:6">
      <c r="A4123" s="7"/>
      <c r="B4123" s="7" t="s">
        <v>1266</v>
      </c>
      <c r="C4123" s="7" t="s">
        <v>428</v>
      </c>
      <c r="D4123" s="34">
        <f>台时!F42</f>
        <v>1.82152692461109</v>
      </c>
      <c r="E4123" s="34">
        <v>35.6</v>
      </c>
      <c r="F4123" s="34">
        <f>D4123*E4123</f>
        <v>64.8463585161548</v>
      </c>
    </row>
    <row r="4124" ht="15.6" customHeight="1" spans="1:6">
      <c r="A4124" s="7"/>
      <c r="B4124" s="7" t="s">
        <v>1005</v>
      </c>
      <c r="C4124" s="7" t="s">
        <v>428</v>
      </c>
      <c r="D4124" s="34">
        <f>台时!H42</f>
        <v>49.389824491424</v>
      </c>
      <c r="E4124" s="251">
        <v>1.6</v>
      </c>
      <c r="F4124" s="34">
        <f>D4124*E4124</f>
        <v>79.0237191862784</v>
      </c>
    </row>
    <row r="4125" ht="15.6" customHeight="1" spans="1:6">
      <c r="A4125" s="7"/>
      <c r="B4125" s="7" t="s">
        <v>967</v>
      </c>
      <c r="C4125" s="7" t="s">
        <v>428</v>
      </c>
      <c r="D4125" s="34">
        <f>台时!C42</f>
        <v>0.813242919824491</v>
      </c>
      <c r="E4125" s="251">
        <v>92.8</v>
      </c>
      <c r="F4125" s="34">
        <f>D4125*E4125</f>
        <v>75.4689429597128</v>
      </c>
    </row>
    <row r="4126" ht="15.6" customHeight="1" spans="1:6">
      <c r="A4126" s="7"/>
      <c r="B4126" s="7" t="s">
        <v>918</v>
      </c>
      <c r="C4126" s="9" t="s">
        <v>845</v>
      </c>
      <c r="D4126" s="34">
        <f>SUM(F4122:F4125)</f>
        <v>658.47262184284</v>
      </c>
      <c r="E4126" s="34">
        <v>7</v>
      </c>
      <c r="F4126" s="34">
        <f>D4126*E4126/100</f>
        <v>46.0930835289988</v>
      </c>
    </row>
    <row r="4127" ht="15.6" customHeight="1" spans="1:6">
      <c r="A4127" s="7" t="s">
        <v>564</v>
      </c>
      <c r="B4127" s="7" t="s">
        <v>846</v>
      </c>
      <c r="C4127" s="52">
        <f>取费表!C7</f>
        <v>0.048</v>
      </c>
      <c r="D4127" s="34"/>
      <c r="E4127" s="34">
        <f>F4111</f>
        <v>34131.7881100618</v>
      </c>
      <c r="F4127" s="34">
        <f>E4127*C4127</f>
        <v>1638.32582928297</v>
      </c>
    </row>
    <row r="4128" ht="15.6" customHeight="1" spans="1:6">
      <c r="A4128" s="7"/>
      <c r="B4128" s="7"/>
      <c r="C4128" s="52"/>
      <c r="D4128" s="34"/>
      <c r="E4128" s="34"/>
      <c r="F4128" s="34"/>
    </row>
    <row r="4129" ht="15.6" customHeight="1" spans="1:6">
      <c r="A4129" s="7" t="s">
        <v>439</v>
      </c>
      <c r="B4129" s="7" t="s">
        <v>847</v>
      </c>
      <c r="C4129" s="52">
        <f>取费表!E7</f>
        <v>0.07</v>
      </c>
      <c r="D4129" s="34"/>
      <c r="E4129" s="34">
        <f>F4110</f>
        <v>35770.1139393448</v>
      </c>
      <c r="F4129" s="34">
        <f>E4129*C4129</f>
        <v>2503.90797575414</v>
      </c>
    </row>
    <row r="4130" ht="15.6" customHeight="1" spans="1:6">
      <c r="A4130" s="7" t="s">
        <v>83</v>
      </c>
      <c r="B4130" s="7" t="s">
        <v>848</v>
      </c>
      <c r="C4130" s="326">
        <f>取费表!F7</f>
        <v>0.07</v>
      </c>
      <c r="D4130" s="34"/>
      <c r="E4130" s="34">
        <f>E4129+F4129</f>
        <v>38274.021915099</v>
      </c>
      <c r="F4130" s="34">
        <f>E4130*C4130</f>
        <v>2679.18153405693</v>
      </c>
    </row>
    <row r="4131" ht="15.6" customHeight="1" spans="1:6">
      <c r="A4131" s="5" t="s">
        <v>121</v>
      </c>
      <c r="B4131" s="5" t="s">
        <v>861</v>
      </c>
      <c r="C4131" s="5"/>
      <c r="D4131" s="276"/>
      <c r="E4131" s="5"/>
      <c r="F4131" s="277">
        <f>F4132+F4136</f>
        <v>8932.69788007176</v>
      </c>
    </row>
    <row r="4132" ht="15.6" customHeight="1" spans="1:6">
      <c r="A4132" s="7">
        <v>1</v>
      </c>
      <c r="B4132" s="7" t="s">
        <v>1011</v>
      </c>
      <c r="C4132" s="7"/>
      <c r="D4132" s="34"/>
      <c r="E4132" s="7"/>
      <c r="F4132" s="69">
        <f>SUM(F4133:F4135)</f>
        <v>8864.44188007176</v>
      </c>
    </row>
    <row r="4133" ht="15.6" customHeight="1" spans="1:6">
      <c r="A4133" s="7"/>
      <c r="B4133" s="7" t="s">
        <v>979</v>
      </c>
      <c r="C4133" s="7" t="s">
        <v>200</v>
      </c>
      <c r="D4133" s="34">
        <f>材料预算价!K5-材料预算价!L5</f>
        <v>141.58936</v>
      </c>
      <c r="E4133" s="38">
        <f>E4118*配合比!E8</f>
        <v>31.334094</v>
      </c>
      <c r="F4133" s="69">
        <f>E4133*D4133</f>
        <v>4436.57431563984</v>
      </c>
    </row>
    <row r="4134" ht="15.6" customHeight="1" spans="1:14">
      <c r="A4134" s="7"/>
      <c r="B4134" s="7" t="s">
        <v>961</v>
      </c>
      <c r="C4134" s="7" t="s">
        <v>169</v>
      </c>
      <c r="D4134" s="34">
        <f>材料预算价!K7-材料预算价!L7</f>
        <v>34.366056</v>
      </c>
      <c r="E4134" s="38">
        <f>E4118*配合比!G8</f>
        <v>56.07756</v>
      </c>
      <c r="F4134" s="69">
        <f>E4134*D4134</f>
        <v>1927.16456730336</v>
      </c>
      <c r="H4134"/>
      <c r="I4134"/>
      <c r="J4134"/>
      <c r="K4134"/>
      <c r="L4134"/>
      <c r="M4134" s="65"/>
      <c r="N4134"/>
    </row>
    <row r="4135" ht="15.6" customHeight="1" spans="1:14">
      <c r="A4135" s="7"/>
      <c r="B4135" s="7" t="s">
        <v>1012</v>
      </c>
      <c r="C4135" s="7" t="s">
        <v>169</v>
      </c>
      <c r="D4135" s="34">
        <f>材料预算价!K8-材料预算价!L8</f>
        <v>29.13701</v>
      </c>
      <c r="E4135" s="38">
        <f>E4118*配合比!I8</f>
        <v>85.825656</v>
      </c>
      <c r="F4135" s="69">
        <f>E4135*D4135</f>
        <v>2500.70299712856</v>
      </c>
      <c r="H4135"/>
      <c r="I4135"/>
      <c r="J4135" t="s">
        <v>1267</v>
      </c>
      <c r="K4135">
        <v>14000</v>
      </c>
      <c r="L4135"/>
      <c r="M4135" s="65"/>
      <c r="N4135"/>
    </row>
    <row r="4136" ht="15.6" customHeight="1" spans="1:14">
      <c r="A4136" s="7">
        <v>2</v>
      </c>
      <c r="B4136" s="7" t="s">
        <v>1013</v>
      </c>
      <c r="C4136" s="7"/>
      <c r="D4136" s="34"/>
      <c r="E4136" s="38"/>
      <c r="F4136" s="69">
        <f>SUM(F4137:F4137)</f>
        <v>68.256</v>
      </c>
      <c r="H4136"/>
      <c r="I4136"/>
      <c r="J4136"/>
      <c r="K4136"/>
      <c r="L4136"/>
      <c r="M4136" s="65" t="s">
        <v>1268</v>
      </c>
      <c r="N4136"/>
    </row>
    <row r="4137" ht="15.6" customHeight="1" spans="1:14">
      <c r="A4137" s="7"/>
      <c r="B4137" s="7" t="s">
        <v>1269</v>
      </c>
      <c r="C4137" s="7" t="s">
        <v>863</v>
      </c>
      <c r="D4137" s="34">
        <f>材料预算价!K12-材料预算价!L12</f>
        <v>5.925</v>
      </c>
      <c r="E4137" s="38">
        <f>E4124*台时!H34</f>
        <v>11.52</v>
      </c>
      <c r="F4137" s="69">
        <f>D4137*E4137</f>
        <v>68.256</v>
      </c>
      <c r="H4137"/>
      <c r="I4137"/>
      <c r="J4137"/>
      <c r="K4137"/>
      <c r="L4137"/>
      <c r="M4137" s="65">
        <v>16655</v>
      </c>
      <c r="N4137"/>
    </row>
    <row r="4138" ht="15.6" customHeight="1" spans="1:14">
      <c r="A4138" s="7" t="s">
        <v>135</v>
      </c>
      <c r="B4138" s="7" t="s">
        <v>849</v>
      </c>
      <c r="C4138" s="53">
        <f>取费表!G7</f>
        <v>0.09</v>
      </c>
      <c r="D4138" s="34"/>
      <c r="E4138" s="34">
        <f>F4110+F4129+F4130+F4131</f>
        <v>49885.9013292276</v>
      </c>
      <c r="F4138" s="34">
        <f>E4138*C4138</f>
        <v>4489.73111963049</v>
      </c>
      <c r="H4138"/>
      <c r="I4138"/>
      <c r="J4138" t="s">
        <v>1270</v>
      </c>
      <c r="K4138" s="65">
        <f>14000*2.98*2</f>
        <v>83440</v>
      </c>
      <c r="L4138"/>
      <c r="M4138" s="102">
        <f>K4138/M4137</f>
        <v>5.0099069348544</v>
      </c>
      <c r="N4138"/>
    </row>
    <row r="4139" ht="15.6" customHeight="1" spans="1:14">
      <c r="A4139" s="7"/>
      <c r="B4139" s="7" t="s">
        <v>850</v>
      </c>
      <c r="C4139" s="53"/>
      <c r="D4139" s="34"/>
      <c r="E4139" s="34"/>
      <c r="F4139" s="34">
        <f>(E4138+F4138)*取费表!H4</f>
        <v>1631.26897346574</v>
      </c>
      <c r="H4139" s="102">
        <f>1985/667</f>
        <v>2.976011994003</v>
      </c>
      <c r="I4139" s="102">
        <f>5000/667</f>
        <v>7.49625187406297</v>
      </c>
      <c r="J4139" t="s">
        <v>1271</v>
      </c>
      <c r="K4139" s="65">
        <f>14000*7.5*2</f>
        <v>210000</v>
      </c>
      <c r="L4139"/>
      <c r="M4139" s="102">
        <f>K4139/M4137</f>
        <v>12.6088261783248</v>
      </c>
      <c r="N4139">
        <f>M4137*M4142</f>
        <v>620547.23208834</v>
      </c>
    </row>
    <row r="4140" ht="15.6" customHeight="1" spans="1:14">
      <c r="A4140" s="7"/>
      <c r="B4140" s="7" t="s">
        <v>156</v>
      </c>
      <c r="C4140" s="7"/>
      <c r="D4140" s="34"/>
      <c r="E4140" s="34"/>
      <c r="F4140" s="34">
        <f>F4138+E4138+F4139</f>
        <v>56006.9014223239</v>
      </c>
      <c r="H4140" s="102"/>
      <c r="I4140" s="65"/>
      <c r="J4140" t="s">
        <v>1272</v>
      </c>
      <c r="K4140" s="65">
        <f>14000*0.05*单价汇总表!D87/100</f>
        <v>324279.23208834</v>
      </c>
      <c r="L4140"/>
      <c r="M4140" s="102">
        <f>K4140/M4137</f>
        <v>19.4703831935359</v>
      </c>
      <c r="N4140"/>
    </row>
    <row r="4141" ht="15.6" customHeight="1" spans="1:14">
      <c r="A4141" s="7"/>
      <c r="B4141" s="7"/>
      <c r="C4141" s="7"/>
      <c r="D4141" s="34"/>
      <c r="E4141" s="34"/>
      <c r="F4141" s="34"/>
      <c r="H4141"/>
      <c r="I4141"/>
      <c r="J4141" t="s">
        <v>1273</v>
      </c>
      <c r="K4141" s="65">
        <f>14000*0.05*4.04</f>
        <v>2828</v>
      </c>
      <c r="L4141"/>
      <c r="M4141" s="102">
        <f>K4141/M4137</f>
        <v>0.169798859201441</v>
      </c>
      <c r="N4141"/>
    </row>
    <row r="4142" ht="15.6" customHeight="1" spans="1:14">
      <c r="A4142" s="7"/>
      <c r="B4142" s="7"/>
      <c r="C4142" s="7"/>
      <c r="D4142" s="34"/>
      <c r="E4142" s="34"/>
      <c r="F4142" s="34"/>
      <c r="H4142"/>
      <c r="I4142"/>
      <c r="J4142" t="s">
        <v>156</v>
      </c>
      <c r="K4142" s="65">
        <f>SUM(K4138:K4141)</f>
        <v>620547.23208834</v>
      </c>
      <c r="L4142"/>
      <c r="M4142" s="102">
        <f>K4142/M4137</f>
        <v>37.2589151659166</v>
      </c>
      <c r="N4142"/>
    </row>
    <row r="4143" ht="15.6" customHeight="1" spans="1:14">
      <c r="A4143" s="7"/>
      <c r="B4143" s="7"/>
      <c r="C4143" s="7"/>
      <c r="D4143" s="34"/>
      <c r="E4143" s="34"/>
      <c r="F4143" s="34"/>
      <c r="H4143"/>
      <c r="I4143"/>
      <c r="J4143"/>
      <c r="K4143"/>
      <c r="L4143"/>
      <c r="M4143" s="65"/>
      <c r="N4143"/>
    </row>
    <row r="4144" ht="15.6" customHeight="1" spans="1:14">
      <c r="A4144" s="7"/>
      <c r="B4144" s="7"/>
      <c r="C4144" s="7"/>
      <c r="D4144" s="34"/>
      <c r="E4144" s="34"/>
      <c r="F4144" s="34"/>
      <c r="H4144"/>
      <c r="I4144"/>
      <c r="J4144"/>
      <c r="K4144"/>
      <c r="L4144"/>
      <c r="M4144" s="65"/>
      <c r="N4144"/>
    </row>
    <row r="4145" ht="15.6" customHeight="1" spans="1:14">
      <c r="A4145" s="7"/>
      <c r="B4145" s="7"/>
      <c r="C4145" s="7"/>
      <c r="D4145" s="34"/>
      <c r="E4145" s="34"/>
      <c r="F4145" s="34"/>
      <c r="H4145"/>
      <c r="I4145"/>
      <c r="J4145"/>
      <c r="K4145">
        <f>K4140+K4141</f>
        <v>327107.23208834</v>
      </c>
      <c r="L4145">
        <f>K4138+K4139</f>
        <v>293440</v>
      </c>
      <c r="M4145" s="65"/>
      <c r="N4145"/>
    </row>
    <row r="4146" ht="15.6" customHeight="1" spans="1:14">
      <c r="A4146" s="7"/>
      <c r="B4146" s="7"/>
      <c r="C4146" s="7"/>
      <c r="D4146" s="34"/>
      <c r="E4146" s="34"/>
      <c r="F4146" s="34"/>
      <c r="H4146"/>
      <c r="I4146"/>
      <c r="J4146"/>
      <c r="K4146">
        <f>K4145/(M4140+M4141)</f>
        <v>16655</v>
      </c>
      <c r="L4146">
        <f>L4145/(M4138+M4139)</f>
        <v>16655</v>
      </c>
      <c r="M4146" s="65"/>
      <c r="N4146"/>
    </row>
    <row r="4147" ht="15.6" customHeight="1" spans="1:14">
      <c r="A4147" s="7"/>
      <c r="B4147" s="7"/>
      <c r="C4147" s="7"/>
      <c r="D4147" s="34"/>
      <c r="E4147" s="34"/>
      <c r="F4147" s="34"/>
      <c r="H4147"/>
      <c r="I4147"/>
      <c r="J4147"/>
      <c r="K4147"/>
      <c r="L4147"/>
      <c r="M4147" s="65"/>
      <c r="N4147"/>
    </row>
    <row r="4148" ht="15.6" customHeight="1" spans="1:6">
      <c r="A4148" s="7"/>
      <c r="B4148" s="7"/>
      <c r="C4148" s="7"/>
      <c r="D4148" s="34"/>
      <c r="E4148" s="34"/>
      <c r="F4148" s="34"/>
    </row>
    <row r="4149" ht="15.6" customHeight="1" spans="1:6">
      <c r="A4149" s="248" t="s">
        <v>881</v>
      </c>
      <c r="B4149" s="225"/>
      <c r="C4149" s="225"/>
      <c r="D4149" s="225"/>
      <c r="E4149" s="225"/>
      <c r="F4149" s="225"/>
    </row>
    <row r="4150" ht="15.6" customHeight="1" spans="1:6">
      <c r="A4150" s="278" t="s">
        <v>1274</v>
      </c>
      <c r="B4150" s="272"/>
      <c r="C4150" s="272"/>
      <c r="D4150" s="272"/>
      <c r="E4150" s="272"/>
      <c r="F4150" s="272"/>
    </row>
    <row r="4151" ht="15.6" customHeight="1" spans="1:6">
      <c r="A4151" s="227" t="s">
        <v>1275</v>
      </c>
      <c r="B4151" s="227"/>
      <c r="C4151" s="272"/>
      <c r="D4151" s="272"/>
      <c r="E4151" s="228" t="s">
        <v>832</v>
      </c>
      <c r="F4151" s="228"/>
    </row>
    <row r="4152" ht="15.6" customHeight="1" spans="1:6">
      <c r="A4152" s="146" t="s">
        <v>911</v>
      </c>
      <c r="B4152" s="233"/>
      <c r="C4152" s="233"/>
      <c r="D4152" s="233"/>
      <c r="E4152" s="233"/>
      <c r="F4152" s="147"/>
    </row>
    <row r="4153" ht="15.6" customHeight="1" spans="1:6">
      <c r="A4153" s="7" t="s">
        <v>104</v>
      </c>
      <c r="B4153" s="7" t="s">
        <v>835</v>
      </c>
      <c r="C4153" s="7" t="s">
        <v>159</v>
      </c>
      <c r="D4153" s="7" t="s">
        <v>422</v>
      </c>
      <c r="E4153" s="7" t="s">
        <v>160</v>
      </c>
      <c r="F4153" s="7" t="s">
        <v>18</v>
      </c>
    </row>
    <row r="4154" ht="15.6" customHeight="1" spans="1:6">
      <c r="A4154" s="7" t="s">
        <v>1105</v>
      </c>
      <c r="B4154" s="7" t="s">
        <v>837</v>
      </c>
      <c r="C4154" s="7"/>
      <c r="D4154" s="7"/>
      <c r="E4154" s="7"/>
      <c r="F4154" s="34">
        <f>F4155+F4171+F4172</f>
        <v>43483.5489772451</v>
      </c>
    </row>
    <row r="4155" ht="15.6" customHeight="1" spans="1:6">
      <c r="A4155" s="7" t="s">
        <v>539</v>
      </c>
      <c r="B4155" s="7" t="s">
        <v>838</v>
      </c>
      <c r="C4155" s="7"/>
      <c r="D4155" s="7"/>
      <c r="E4155" s="7"/>
      <c r="F4155" s="34">
        <f>F4156+F4159+F4165</f>
        <v>41491.9360469896</v>
      </c>
    </row>
    <row r="4156" ht="15.6" customHeight="1" spans="1:6">
      <c r="A4156" s="7">
        <v>1</v>
      </c>
      <c r="B4156" s="7" t="s">
        <v>839</v>
      </c>
      <c r="C4156" s="7" t="s">
        <v>840</v>
      </c>
      <c r="D4156" s="34"/>
      <c r="E4156" s="42">
        <f>SUM(E4157:E4158)</f>
        <v>2822</v>
      </c>
      <c r="F4156" s="69">
        <f>SUM(F4157:F4158)</f>
        <v>20800.111</v>
      </c>
    </row>
    <row r="4157" ht="15.6" customHeight="1" spans="1:6">
      <c r="A4157" s="7"/>
      <c r="B4157" s="7" t="s">
        <v>841</v>
      </c>
      <c r="C4157" s="7" t="s">
        <v>840</v>
      </c>
      <c r="D4157" s="69">
        <f t="shared" ref="D4157:D4163" si="249">D4113</f>
        <v>8.1</v>
      </c>
      <c r="E4157" s="42">
        <v>1938.7</v>
      </c>
      <c r="F4157" s="69">
        <f t="shared" ref="F4157:F4163" si="250">D4157*E4157</f>
        <v>15703.47</v>
      </c>
    </row>
    <row r="4158" ht="15.6" customHeight="1" spans="1:6">
      <c r="A4158" s="7"/>
      <c r="B4158" s="7" t="s">
        <v>842</v>
      </c>
      <c r="C4158" s="7" t="s">
        <v>840</v>
      </c>
      <c r="D4158" s="69">
        <f t="shared" si="249"/>
        <v>5.77</v>
      </c>
      <c r="E4158" s="42">
        <v>883.3</v>
      </c>
      <c r="F4158" s="69">
        <f t="shared" si="250"/>
        <v>5096.641</v>
      </c>
    </row>
    <row r="4159" ht="15.6" customHeight="1" spans="1:6">
      <c r="A4159" s="7">
        <v>2</v>
      </c>
      <c r="B4159" s="7" t="s">
        <v>912</v>
      </c>
      <c r="C4159" s="7"/>
      <c r="D4159" s="34"/>
      <c r="E4159" s="34"/>
      <c r="F4159" s="34">
        <f>SUM(F4160:F4164)</f>
        <v>19958.20415069</v>
      </c>
    </row>
    <row r="4160" ht="15.6" customHeight="1" spans="1:6">
      <c r="A4160" s="7"/>
      <c r="B4160" s="273" t="s">
        <v>1276</v>
      </c>
      <c r="C4160" s="273" t="s">
        <v>863</v>
      </c>
      <c r="D4160" s="34">
        <v>5</v>
      </c>
      <c r="E4160" s="34">
        <v>153.08</v>
      </c>
      <c r="F4160" s="34">
        <f t="shared" si="250"/>
        <v>765.4</v>
      </c>
    </row>
    <row r="4161" ht="15.6" customHeight="1" spans="1:6">
      <c r="A4161" s="7"/>
      <c r="B4161" s="273" t="s">
        <v>1000</v>
      </c>
      <c r="C4161" s="273" t="s">
        <v>863</v>
      </c>
      <c r="D4161" s="34">
        <f t="shared" si="249"/>
        <v>4.5</v>
      </c>
      <c r="E4161" s="34">
        <v>32.34</v>
      </c>
      <c r="F4161" s="34">
        <f t="shared" si="250"/>
        <v>145.53</v>
      </c>
    </row>
    <row r="4162" ht="15.6" customHeight="1" spans="1:6">
      <c r="A4162" s="7"/>
      <c r="B4162" s="7" t="s">
        <v>1003</v>
      </c>
      <c r="C4162" s="7" t="s">
        <v>169</v>
      </c>
      <c r="D4162" s="34">
        <f t="shared" si="249"/>
        <v>176.3536095</v>
      </c>
      <c r="E4162" s="34">
        <v>102</v>
      </c>
      <c r="F4162" s="34">
        <f t="shared" si="250"/>
        <v>17988.068169</v>
      </c>
    </row>
    <row r="4163" ht="15.6" customHeight="1" spans="1:6">
      <c r="A4163" s="7"/>
      <c r="B4163" s="7" t="s">
        <v>913</v>
      </c>
      <c r="C4163" s="7" t="s">
        <v>169</v>
      </c>
      <c r="D4163" s="34">
        <f t="shared" si="249"/>
        <v>3.59</v>
      </c>
      <c r="E4163" s="34">
        <v>240</v>
      </c>
      <c r="F4163" s="34">
        <f t="shared" si="250"/>
        <v>861.6</v>
      </c>
    </row>
    <row r="4164" ht="15.6" customHeight="1" spans="1:6">
      <c r="A4164" s="7"/>
      <c r="B4164" s="7" t="s">
        <v>1004</v>
      </c>
      <c r="C4164" s="9" t="s">
        <v>845</v>
      </c>
      <c r="D4164" s="34">
        <f>SUM(F4160:F4163)</f>
        <v>19760.598169</v>
      </c>
      <c r="E4164" s="34">
        <v>1</v>
      </c>
      <c r="F4164" s="34">
        <f>D4164*E4164/100</f>
        <v>197.60598169</v>
      </c>
    </row>
    <row r="4165" ht="15.6" customHeight="1" spans="1:6">
      <c r="A4165" s="7">
        <v>3</v>
      </c>
      <c r="B4165" s="7" t="s">
        <v>859</v>
      </c>
      <c r="C4165" s="7"/>
      <c r="D4165" s="34"/>
      <c r="E4165" s="34"/>
      <c r="F4165" s="34">
        <f>SUM(F4166:F4170)</f>
        <v>733.620896299641</v>
      </c>
    </row>
    <row r="4166" ht="15.6" customHeight="1" spans="1:6">
      <c r="A4166" s="7"/>
      <c r="B4166" s="7" t="s">
        <v>1008</v>
      </c>
      <c r="C4166" s="7" t="s">
        <v>428</v>
      </c>
      <c r="D4166" s="34">
        <f>D4122</f>
        <v>23.9179521340247</v>
      </c>
      <c r="E4166" s="34">
        <v>18.36</v>
      </c>
      <c r="F4166" s="34">
        <f>D4166*E4166</f>
        <v>439.133601180694</v>
      </c>
    </row>
    <row r="4167" ht="15.6" customHeight="1" spans="1:6">
      <c r="A4167" s="7"/>
      <c r="B4167" s="7" t="s">
        <v>1266</v>
      </c>
      <c r="C4167" s="7" t="s">
        <v>428</v>
      </c>
      <c r="D4167" s="34">
        <f>D4123</f>
        <v>1.82152692461109</v>
      </c>
      <c r="E4167" s="34">
        <v>44</v>
      </c>
      <c r="F4167" s="34">
        <f>D4167*E4167</f>
        <v>80.1471846828879</v>
      </c>
    </row>
    <row r="4168" ht="15.6" customHeight="1" spans="1:6">
      <c r="A4168" s="7"/>
      <c r="B4168" s="7" t="s">
        <v>1005</v>
      </c>
      <c r="C4168" s="7" t="s">
        <v>428</v>
      </c>
      <c r="D4168" s="34">
        <f>D4124</f>
        <v>49.389824491424</v>
      </c>
      <c r="E4168" s="251">
        <v>1.84</v>
      </c>
      <c r="F4168" s="34">
        <f>D4168*E4168</f>
        <v>90.8772770642202</v>
      </c>
    </row>
    <row r="4169" ht="15.6" customHeight="1" spans="1:6">
      <c r="A4169" s="7"/>
      <c r="B4169" s="7" t="s">
        <v>967</v>
      </c>
      <c r="C4169" s="7" t="s">
        <v>428</v>
      </c>
      <c r="D4169" s="34">
        <f>D4125</f>
        <v>0.813242919824491</v>
      </c>
      <c r="E4169" s="251">
        <v>92.8</v>
      </c>
      <c r="F4169" s="34">
        <f>D4169*E4169</f>
        <v>75.4689429597128</v>
      </c>
    </row>
    <row r="4170" ht="15.6" customHeight="1" spans="1:6">
      <c r="A4170" s="7"/>
      <c r="B4170" s="7" t="s">
        <v>918</v>
      </c>
      <c r="C4170" s="9" t="s">
        <v>845</v>
      </c>
      <c r="D4170" s="34">
        <f>SUM(F4166:F4169)</f>
        <v>685.627005887515</v>
      </c>
      <c r="E4170" s="34">
        <v>7</v>
      </c>
      <c r="F4170" s="34">
        <f>D4170*E4170/100</f>
        <v>47.993890412126</v>
      </c>
    </row>
    <row r="4171" ht="15.6" customHeight="1" spans="1:6">
      <c r="A4171" s="7" t="s">
        <v>564</v>
      </c>
      <c r="B4171" s="7" t="s">
        <v>846</v>
      </c>
      <c r="C4171" s="52">
        <f>C4127</f>
        <v>0.048</v>
      </c>
      <c r="D4171" s="34"/>
      <c r="E4171" s="34">
        <f>F4155</f>
        <v>41491.9360469896</v>
      </c>
      <c r="F4171" s="34">
        <f>E4171*C4171</f>
        <v>1991.6129302555</v>
      </c>
    </row>
    <row r="4172" ht="15.6" customHeight="1" spans="1:6">
      <c r="A4172" s="7"/>
      <c r="B4172" s="7"/>
      <c r="C4172" s="52"/>
      <c r="D4172" s="34"/>
      <c r="E4172" s="34"/>
      <c r="F4172" s="34"/>
    </row>
    <row r="4173" ht="15.6" customHeight="1" spans="1:6">
      <c r="A4173" s="7" t="s">
        <v>439</v>
      </c>
      <c r="B4173" s="7" t="s">
        <v>847</v>
      </c>
      <c r="C4173" s="52">
        <f>C4129</f>
        <v>0.07</v>
      </c>
      <c r="D4173" s="34"/>
      <c r="E4173" s="34">
        <f>F4154</f>
        <v>43483.5489772451</v>
      </c>
      <c r="F4173" s="34">
        <f>E4173*C4173</f>
        <v>3043.84842840716</v>
      </c>
    </row>
    <row r="4174" ht="15.6" customHeight="1" spans="1:6">
      <c r="A4174" s="7" t="s">
        <v>83</v>
      </c>
      <c r="B4174" s="7" t="s">
        <v>848</v>
      </c>
      <c r="C4174" s="52">
        <f>C4130</f>
        <v>0.07</v>
      </c>
      <c r="D4174" s="34"/>
      <c r="E4174" s="34">
        <f>E4173+F4173</f>
        <v>46527.3974056523</v>
      </c>
      <c r="F4174" s="34">
        <f>E4174*C4174</f>
        <v>3256.91781839566</v>
      </c>
    </row>
    <row r="4175" ht="15.6" customHeight="1" spans="1:6">
      <c r="A4175" s="5" t="s">
        <v>121</v>
      </c>
      <c r="B4175" s="5" t="s">
        <v>861</v>
      </c>
      <c r="C4175" s="5"/>
      <c r="D4175" s="276"/>
      <c r="E4175" s="5"/>
      <c r="F4175" s="277">
        <f>F4176+F4180</f>
        <v>8942.93628007176</v>
      </c>
    </row>
    <row r="4176" ht="15.6" customHeight="1" spans="1:6">
      <c r="A4176" s="7">
        <v>1</v>
      </c>
      <c r="B4176" s="7" t="s">
        <v>1011</v>
      </c>
      <c r="C4176" s="7"/>
      <c r="D4176" s="34"/>
      <c r="E4176" s="7"/>
      <c r="F4176" s="69">
        <f>SUM(F4177:F4179)</f>
        <v>8864.44188007176</v>
      </c>
    </row>
    <row r="4177" ht="15.6" customHeight="1" spans="1:6">
      <c r="A4177" s="7"/>
      <c r="B4177" s="7" t="s">
        <v>979</v>
      </c>
      <c r="C4177" s="7" t="s">
        <v>200</v>
      </c>
      <c r="D4177" s="34">
        <f>D4133</f>
        <v>141.58936</v>
      </c>
      <c r="E4177" s="38">
        <f>E4162*配合比!E8</f>
        <v>31.334094</v>
      </c>
      <c r="F4177" s="69">
        <f>E4177*D4177</f>
        <v>4436.57431563984</v>
      </c>
    </row>
    <row r="4178" ht="15.6" customHeight="1" spans="1:6">
      <c r="A4178" s="7"/>
      <c r="B4178" s="7" t="s">
        <v>961</v>
      </c>
      <c r="C4178" s="7" t="s">
        <v>169</v>
      </c>
      <c r="D4178" s="34">
        <f>D4134</f>
        <v>34.366056</v>
      </c>
      <c r="E4178" s="38">
        <f>E4162*配合比!G8</f>
        <v>56.07756</v>
      </c>
      <c r="F4178" s="69">
        <f>E4178*D4178</f>
        <v>1927.16456730336</v>
      </c>
    </row>
    <row r="4179" ht="15.6" customHeight="1" spans="1:6">
      <c r="A4179" s="7"/>
      <c r="B4179" s="7" t="s">
        <v>1012</v>
      </c>
      <c r="C4179" s="7" t="s">
        <v>169</v>
      </c>
      <c r="D4179" s="34">
        <f>D4135</f>
        <v>29.13701</v>
      </c>
      <c r="E4179" s="38">
        <f>E4162*配合比!I8</f>
        <v>85.825656</v>
      </c>
      <c r="F4179" s="69">
        <f>E4179*D4179</f>
        <v>2500.70299712856</v>
      </c>
    </row>
    <row r="4180" ht="15.6" customHeight="1" spans="1:6">
      <c r="A4180" s="7">
        <v>2</v>
      </c>
      <c r="B4180" s="7" t="s">
        <v>1013</v>
      </c>
      <c r="C4180" s="7"/>
      <c r="D4180" s="34"/>
      <c r="E4180" s="38"/>
      <c r="F4180" s="69">
        <f>SUM(F4181:F4181)</f>
        <v>78.4944</v>
      </c>
    </row>
    <row r="4181" ht="15.6" customHeight="1" spans="1:6">
      <c r="A4181" s="7"/>
      <c r="B4181" s="7" t="s">
        <v>1269</v>
      </c>
      <c r="C4181" s="7" t="s">
        <v>863</v>
      </c>
      <c r="D4181" s="34">
        <f>D4137</f>
        <v>5.925</v>
      </c>
      <c r="E4181" s="38">
        <f>E4168*台时!H34</f>
        <v>13.248</v>
      </c>
      <c r="F4181" s="69">
        <f>D4181*E4181</f>
        <v>78.4944</v>
      </c>
    </row>
    <row r="4182" ht="15.6" customHeight="1" spans="1:6">
      <c r="A4182" s="7" t="s">
        <v>135</v>
      </c>
      <c r="B4182" s="7" t="s">
        <v>849</v>
      </c>
      <c r="C4182" s="53">
        <f>C4138</f>
        <v>0.09</v>
      </c>
      <c r="D4182" s="34"/>
      <c r="E4182" s="34">
        <f>F4154+F4173+F4174+F4175</f>
        <v>58727.2515041197</v>
      </c>
      <c r="F4182" s="34">
        <f>E4182*C4182</f>
        <v>5285.45263537077</v>
      </c>
    </row>
    <row r="4183" ht="15.6" customHeight="1" spans="1:6">
      <c r="A4183" s="7"/>
      <c r="B4183" s="7" t="s">
        <v>850</v>
      </c>
      <c r="C4183" s="53"/>
      <c r="D4183" s="34"/>
      <c r="E4183" s="34"/>
      <c r="F4183" s="34">
        <f>(E4182+F4182)*取费表!H7</f>
        <v>1920.38112418471</v>
      </c>
    </row>
    <row r="4184" ht="15.6" customHeight="1" spans="1:6">
      <c r="A4184" s="7"/>
      <c r="B4184" s="7" t="s">
        <v>156</v>
      </c>
      <c r="C4184" s="7"/>
      <c r="D4184" s="34"/>
      <c r="E4184" s="34"/>
      <c r="F4184" s="34">
        <f>F4182+E4182+F4183</f>
        <v>65933.0852636752</v>
      </c>
    </row>
    <row r="4185" ht="15.6" customHeight="1" spans="1:6">
      <c r="A4185" s="7"/>
      <c r="B4185" s="7"/>
      <c r="C4185" s="7"/>
      <c r="D4185" s="34"/>
      <c r="E4185" s="34"/>
      <c r="F4185" s="34"/>
    </row>
    <row r="4186" ht="15.6" customHeight="1" spans="1:6">
      <c r="A4186" s="7"/>
      <c r="B4186" s="7"/>
      <c r="C4186" s="7"/>
      <c r="D4186" s="34"/>
      <c r="E4186" s="34"/>
      <c r="F4186" s="34"/>
    </row>
    <row r="4187" ht="15.6" customHeight="1" spans="1:6">
      <c r="A4187" s="7"/>
      <c r="B4187" s="7"/>
      <c r="C4187" s="7"/>
      <c r="D4187" s="34"/>
      <c r="E4187" s="34"/>
      <c r="F4187" s="34"/>
    </row>
    <row r="4188" ht="15.6" customHeight="1" spans="1:6">
      <c r="A4188" s="7"/>
      <c r="B4188" s="7"/>
      <c r="C4188" s="7"/>
      <c r="D4188" s="34"/>
      <c r="E4188" s="34"/>
      <c r="F4188" s="34"/>
    </row>
    <row r="4189" ht="15.6" customHeight="1" spans="1:6">
      <c r="A4189" s="7"/>
      <c r="B4189" s="7"/>
      <c r="C4189" s="7"/>
      <c r="D4189" s="34"/>
      <c r="E4189" s="34"/>
      <c r="F4189" s="34"/>
    </row>
    <row r="4190" ht="15.6" customHeight="1" spans="1:6">
      <c r="A4190" s="7"/>
      <c r="B4190" s="7"/>
      <c r="C4190" s="7"/>
      <c r="D4190" s="34"/>
      <c r="E4190" s="34"/>
      <c r="F4190" s="34"/>
    </row>
    <row r="4191" ht="15.6" customHeight="1" spans="1:6">
      <c r="A4191" s="7"/>
      <c r="B4191" s="7"/>
      <c r="C4191" s="7"/>
      <c r="D4191" s="34"/>
      <c r="E4191" s="34"/>
      <c r="F4191" s="34"/>
    </row>
    <row r="4192" ht="15.6" customHeight="1" spans="1:6">
      <c r="A4192" s="7"/>
      <c r="B4192" s="7"/>
      <c r="C4192" s="7"/>
      <c r="D4192" s="34"/>
      <c r="E4192" s="34"/>
      <c r="F4192" s="34"/>
    </row>
    <row r="4193" ht="15.6" customHeight="1" spans="1:6">
      <c r="A4193" s="248" t="s">
        <v>881</v>
      </c>
      <c r="B4193" s="225"/>
      <c r="C4193" s="225"/>
      <c r="D4193" s="225"/>
      <c r="E4193" s="225"/>
      <c r="F4193" s="225"/>
    </row>
    <row r="4194" ht="15.6" customHeight="1" spans="1:6">
      <c r="A4194" s="278" t="s">
        <v>1277</v>
      </c>
      <c r="B4194" s="272"/>
      <c r="C4194" s="272"/>
      <c r="D4194" s="272"/>
      <c r="E4194" s="272"/>
      <c r="F4194" s="272"/>
    </row>
    <row r="4195" ht="15.6" customHeight="1" spans="1:6">
      <c r="A4195" s="227" t="s">
        <v>1278</v>
      </c>
      <c r="B4195" s="227"/>
      <c r="C4195" s="229"/>
      <c r="D4195" s="229"/>
      <c r="E4195" s="228" t="s">
        <v>832</v>
      </c>
      <c r="F4195" s="228"/>
    </row>
    <row r="4196" ht="15.6" customHeight="1" spans="1:6">
      <c r="A4196" s="232" t="s">
        <v>911</v>
      </c>
      <c r="B4196" s="234"/>
      <c r="C4196" s="233"/>
      <c r="D4196" s="233"/>
      <c r="E4196" s="233"/>
      <c r="F4196" s="147"/>
    </row>
    <row r="4197" ht="15.6" customHeight="1" spans="1:6">
      <c r="A4197" s="7" t="s">
        <v>104</v>
      </c>
      <c r="B4197" s="7" t="s">
        <v>835</v>
      </c>
      <c r="C4197" s="7" t="s">
        <v>159</v>
      </c>
      <c r="D4197" s="7" t="s">
        <v>422</v>
      </c>
      <c r="E4197" s="7" t="s">
        <v>160</v>
      </c>
      <c r="F4197" s="7" t="s">
        <v>18</v>
      </c>
    </row>
    <row r="4198" ht="15.6" customHeight="1" spans="1:8">
      <c r="A4198" s="7" t="s">
        <v>836</v>
      </c>
      <c r="B4198" s="7" t="s">
        <v>837</v>
      </c>
      <c r="C4198" s="7"/>
      <c r="D4198" s="7"/>
      <c r="E4198" s="7"/>
      <c r="F4198" s="34">
        <f>F4199+F4207+F4208</f>
        <v>4606.31065394485</v>
      </c>
      <c r="H4198" s="223">
        <f>0.5*14</f>
        <v>7</v>
      </c>
    </row>
    <row r="4199" ht="15.6" customHeight="1" spans="1:6">
      <c r="A4199" s="7" t="s">
        <v>539</v>
      </c>
      <c r="B4199" s="7" t="s">
        <v>838</v>
      </c>
      <c r="C4199" s="7"/>
      <c r="D4199" s="7"/>
      <c r="E4199" s="7"/>
      <c r="F4199" s="34">
        <f>F4200+F4203+F4205</f>
        <v>4395.33459345883</v>
      </c>
    </row>
    <row r="4200" ht="15.6" customHeight="1" spans="1:6">
      <c r="A4200" s="7">
        <v>1</v>
      </c>
      <c r="B4200" s="7" t="s">
        <v>839</v>
      </c>
      <c r="C4200" s="7" t="s">
        <v>840</v>
      </c>
      <c r="D4200" s="34"/>
      <c r="E4200" s="42">
        <f>SUM(E4201:E4202)</f>
        <v>176.6</v>
      </c>
      <c r="F4200" s="69">
        <f>F4202</f>
        <v>1018.982</v>
      </c>
    </row>
    <row r="4201" ht="15.6" customHeight="1" spans="1:6">
      <c r="A4201" s="7"/>
      <c r="B4201" s="7" t="s">
        <v>841</v>
      </c>
      <c r="C4201" s="7" t="s">
        <v>840</v>
      </c>
      <c r="D4201" s="69">
        <f>D4113</f>
        <v>8.1</v>
      </c>
      <c r="E4201" s="42">
        <v>0</v>
      </c>
      <c r="F4201" s="69">
        <f t="shared" ref="F4201:F4206" si="251">D4201*E4201</f>
        <v>0</v>
      </c>
    </row>
    <row r="4202" ht="15.6" customHeight="1" spans="1:6">
      <c r="A4202" s="7"/>
      <c r="B4202" s="7" t="s">
        <v>842</v>
      </c>
      <c r="C4202" s="7" t="s">
        <v>840</v>
      </c>
      <c r="D4202" s="69">
        <f>D4114</f>
        <v>5.77</v>
      </c>
      <c r="E4202" s="42">
        <f>176.6</f>
        <v>176.6</v>
      </c>
      <c r="F4202" s="69">
        <f t="shared" si="251"/>
        <v>1018.982</v>
      </c>
    </row>
    <row r="4203" ht="15.6" customHeight="1" spans="1:6">
      <c r="A4203" s="7">
        <v>2</v>
      </c>
      <c r="B4203" s="7" t="s">
        <v>912</v>
      </c>
      <c r="C4203" s="7"/>
      <c r="D4203" s="34"/>
      <c r="E4203" s="34"/>
      <c r="F4203" s="34">
        <f>F4204</f>
        <v>515.957194112996</v>
      </c>
    </row>
    <row r="4204" ht="15.6" customHeight="1" spans="1:8">
      <c r="A4204" s="7"/>
      <c r="B4204" s="7" t="s">
        <v>844</v>
      </c>
      <c r="C4204" s="300" t="s">
        <v>845</v>
      </c>
      <c r="D4204" s="34">
        <f>F4200+F4205</f>
        <v>3879.37739934583</v>
      </c>
      <c r="E4204" s="327">
        <v>0.133</v>
      </c>
      <c r="F4204" s="34">
        <f>E4204*D4204</f>
        <v>515.957194112996</v>
      </c>
      <c r="H4204" s="258">
        <f>F4140+F4215+F4261</f>
        <v>83571.8099182886</v>
      </c>
    </row>
    <row r="4205" ht="15.6" customHeight="1" spans="1:6">
      <c r="A4205" s="7">
        <v>3</v>
      </c>
      <c r="B4205" s="7" t="s">
        <v>859</v>
      </c>
      <c r="C4205" s="7"/>
      <c r="D4205" s="34"/>
      <c r="E4205" s="34"/>
      <c r="F4205" s="34">
        <f>F4206</f>
        <v>2860.39539934583</v>
      </c>
    </row>
    <row r="4206" ht="15.6" customHeight="1" spans="1:6">
      <c r="A4206" s="7"/>
      <c r="B4206" s="7" t="s">
        <v>1279</v>
      </c>
      <c r="C4206" s="7" t="s">
        <v>428</v>
      </c>
      <c r="D4206" s="34">
        <f>台时!C105</f>
        <v>15.9123019545273</v>
      </c>
      <c r="E4206" s="328">
        <f>66.36+12.6*9</f>
        <v>179.76</v>
      </c>
      <c r="F4206" s="34">
        <f t="shared" si="251"/>
        <v>2860.39539934583</v>
      </c>
    </row>
    <row r="4207" ht="15.6" customHeight="1" spans="1:6">
      <c r="A4207" s="7" t="s">
        <v>564</v>
      </c>
      <c r="B4207" s="7" t="s">
        <v>846</v>
      </c>
      <c r="C4207" s="230">
        <f>取费表!C7</f>
        <v>0.048</v>
      </c>
      <c r="D4207" s="34"/>
      <c r="E4207" s="254">
        <f>F4199</f>
        <v>4395.33459345883</v>
      </c>
      <c r="F4207" s="34">
        <f>E4207*C4207</f>
        <v>210.976060486024</v>
      </c>
    </row>
    <row r="4208" ht="15.6" customHeight="1" spans="1:6">
      <c r="A4208" s="7"/>
      <c r="B4208" s="7"/>
      <c r="C4208" s="231"/>
      <c r="D4208" s="34"/>
      <c r="E4208" s="254"/>
      <c r="F4208" s="34"/>
    </row>
    <row r="4209" ht="15.6" customHeight="1" spans="1:6">
      <c r="A4209" s="7" t="s">
        <v>439</v>
      </c>
      <c r="B4209" s="7" t="s">
        <v>847</v>
      </c>
      <c r="C4209" s="231">
        <f>取费表!E7</f>
        <v>0.07</v>
      </c>
      <c r="D4209" s="34"/>
      <c r="E4209" s="254">
        <f>F4198</f>
        <v>4606.31065394485</v>
      </c>
      <c r="F4209" s="34">
        <f>E4209*C4209</f>
        <v>322.44174577614</v>
      </c>
    </row>
    <row r="4210" ht="15.6" customHeight="1" spans="1:6">
      <c r="A4210" s="7" t="s">
        <v>83</v>
      </c>
      <c r="B4210" s="7" t="s">
        <v>848</v>
      </c>
      <c r="C4210" s="257">
        <f>取费表!F7</f>
        <v>0.07</v>
      </c>
      <c r="D4210" s="34"/>
      <c r="E4210" s="254">
        <f>F4209+F4198</f>
        <v>4928.75239972099</v>
      </c>
      <c r="F4210" s="34">
        <f>E4210*C4210</f>
        <v>345.012667980469</v>
      </c>
    </row>
    <row r="4211" ht="15.6" customHeight="1" spans="1:6">
      <c r="A4211" s="7" t="s">
        <v>121</v>
      </c>
      <c r="B4211" s="7" t="s">
        <v>861</v>
      </c>
      <c r="C4211" s="9"/>
      <c r="D4211" s="34"/>
      <c r="E4211" s="7"/>
      <c r="F4211" s="69">
        <f>SUM(F4212:F4212)</f>
        <v>1399.61136</v>
      </c>
    </row>
    <row r="4212" ht="15.6" customHeight="1" spans="1:6">
      <c r="A4212" s="7"/>
      <c r="B4212" s="7" t="s">
        <v>862</v>
      </c>
      <c r="C4212" s="9" t="s">
        <v>863</v>
      </c>
      <c r="D4212" s="34">
        <f>材料预算价!K11-材料预算价!L11</f>
        <v>4.58</v>
      </c>
      <c r="E4212" s="38">
        <f>(E4206*1.7)</f>
        <v>305.592</v>
      </c>
      <c r="F4212" s="69">
        <f>D4212*E4212</f>
        <v>1399.61136</v>
      </c>
    </row>
    <row r="4213" ht="15.6" customHeight="1" spans="1:6">
      <c r="A4213" s="7" t="s">
        <v>135</v>
      </c>
      <c r="B4213" s="7" t="s">
        <v>849</v>
      </c>
      <c r="C4213" s="231">
        <f>取费表!G7</f>
        <v>0.09</v>
      </c>
      <c r="D4213" s="34"/>
      <c r="E4213" s="34">
        <f>F4211+F4210+F4209+F4198</f>
        <v>6673.37642770146</v>
      </c>
      <c r="F4213" s="34">
        <f>E4213*C4213</f>
        <v>600.603878493131</v>
      </c>
    </row>
    <row r="4214" ht="15.6" customHeight="1" spans="1:6">
      <c r="A4214" s="7"/>
      <c r="B4214" s="7" t="s">
        <v>850</v>
      </c>
      <c r="C4214" s="231"/>
      <c r="D4214" s="34"/>
      <c r="E4214" s="34"/>
      <c r="F4214" s="34">
        <f>(F4198+F4209+F4210+F4211+F4213)*取费表!H4</f>
        <v>218.219409185838</v>
      </c>
    </row>
    <row r="4215" ht="15.6" customHeight="1" spans="1:7">
      <c r="A4215" s="7"/>
      <c r="B4215" s="7" t="s">
        <v>156</v>
      </c>
      <c r="C4215" s="7"/>
      <c r="D4215" s="34"/>
      <c r="E4215" s="34"/>
      <c r="F4215" s="34">
        <f>F4213+E4213+F4214</f>
        <v>7492.19971538043</v>
      </c>
      <c r="G4215" s="258">
        <f>F4215+F4261+F4140</f>
        <v>83571.8099182886</v>
      </c>
    </row>
    <row r="4216" ht="15.6" customHeight="1" spans="1:6">
      <c r="A4216" s="7"/>
      <c r="B4216" s="7"/>
      <c r="C4216" s="7"/>
      <c r="D4216" s="34"/>
      <c r="E4216" s="34"/>
      <c r="F4216" s="34"/>
    </row>
    <row r="4217" ht="15.6" customHeight="1" spans="1:6">
      <c r="A4217" s="7"/>
      <c r="B4217" s="7"/>
      <c r="C4217" s="7"/>
      <c r="D4217" s="34"/>
      <c r="E4217" s="34"/>
      <c r="F4217" s="34"/>
    </row>
    <row r="4218" ht="15.6" customHeight="1" spans="1:6">
      <c r="A4218" s="7"/>
      <c r="B4218" s="7"/>
      <c r="C4218" s="7"/>
      <c r="D4218" s="34"/>
      <c r="E4218" s="34"/>
      <c r="F4218" s="34"/>
    </row>
    <row r="4219" ht="15.6" customHeight="1" spans="1:6">
      <c r="A4219" s="7"/>
      <c r="B4219" s="7"/>
      <c r="C4219" s="7"/>
      <c r="D4219" s="34"/>
      <c r="E4219" s="34"/>
      <c r="F4219" s="34"/>
    </row>
    <row r="4220" ht="15.6" customHeight="1" spans="1:6">
      <c r="A4220" s="7"/>
      <c r="B4220" s="7"/>
      <c r="C4220" s="7"/>
      <c r="D4220" s="34"/>
      <c r="E4220" s="34"/>
      <c r="F4220" s="34"/>
    </row>
    <row r="4221" ht="15.6" customHeight="1" spans="1:6">
      <c r="A4221" s="7"/>
      <c r="B4221" s="7"/>
      <c r="C4221" s="7"/>
      <c r="D4221" s="34"/>
      <c r="E4221" s="34"/>
      <c r="F4221" s="34"/>
    </row>
    <row r="4222" ht="15.6" customHeight="1" spans="1:6">
      <c r="A4222" s="7"/>
      <c r="B4222" s="7"/>
      <c r="C4222" s="7"/>
      <c r="D4222" s="34"/>
      <c r="E4222" s="34"/>
      <c r="F4222" s="34"/>
    </row>
    <row r="4223" ht="15.6" customHeight="1" spans="1:6">
      <c r="A4223" s="7"/>
      <c r="B4223" s="7"/>
      <c r="C4223" s="7"/>
      <c r="D4223" s="34"/>
      <c r="E4223" s="34"/>
      <c r="F4223" s="34"/>
    </row>
    <row r="4224" ht="15.6" customHeight="1" spans="1:6">
      <c r="A4224" s="7"/>
      <c r="B4224" s="7"/>
      <c r="C4224" s="7"/>
      <c r="D4224" s="34"/>
      <c r="E4224" s="34"/>
      <c r="F4224" s="34"/>
    </row>
    <row r="4225" ht="15.6" customHeight="1" spans="1:6">
      <c r="A4225" s="7"/>
      <c r="B4225" s="7"/>
      <c r="C4225" s="7"/>
      <c r="D4225" s="34"/>
      <c r="E4225" s="34"/>
      <c r="F4225" s="34"/>
    </row>
    <row r="4226" ht="15.6" customHeight="1" spans="1:6">
      <c r="A4226" s="7"/>
      <c r="B4226" s="7"/>
      <c r="C4226" s="7"/>
      <c r="D4226" s="34"/>
      <c r="E4226" s="34"/>
      <c r="F4226" s="34"/>
    </row>
    <row r="4227" ht="15.6" customHeight="1" spans="1:6">
      <c r="A4227" s="7"/>
      <c r="B4227" s="7"/>
      <c r="C4227" s="7"/>
      <c r="D4227" s="34"/>
      <c r="E4227" s="34"/>
      <c r="F4227" s="34"/>
    </row>
    <row r="4228" ht="15.6" customHeight="1" spans="1:6">
      <c r="A4228" s="7"/>
      <c r="B4228" s="7"/>
      <c r="C4228" s="7"/>
      <c r="D4228" s="34"/>
      <c r="E4228" s="34"/>
      <c r="F4228" s="34"/>
    </row>
    <row r="4229" ht="15.6" customHeight="1" spans="1:6">
      <c r="A4229" s="7"/>
      <c r="B4229" s="7"/>
      <c r="C4229" s="7"/>
      <c r="D4229" s="34"/>
      <c r="E4229" s="34"/>
      <c r="F4229" s="34"/>
    </row>
    <row r="4230" ht="15.6" customHeight="1" spans="1:6">
      <c r="A4230" s="7"/>
      <c r="B4230" s="7"/>
      <c r="C4230" s="7"/>
      <c r="D4230" s="34"/>
      <c r="E4230" s="34"/>
      <c r="F4230" s="34"/>
    </row>
    <row r="4231" ht="15.6" customHeight="1" spans="1:6">
      <c r="A4231" s="7"/>
      <c r="B4231" s="7"/>
      <c r="C4231" s="7"/>
      <c r="D4231" s="34"/>
      <c r="E4231" s="34"/>
      <c r="F4231" s="34"/>
    </row>
    <row r="4232" ht="15.6" customHeight="1" spans="1:6">
      <c r="A4232" s="7"/>
      <c r="B4232" s="7"/>
      <c r="C4232" s="7"/>
      <c r="D4232" s="34"/>
      <c r="E4232" s="34"/>
      <c r="F4232" s="34"/>
    </row>
    <row r="4233" ht="15.6" customHeight="1" spans="1:6">
      <c r="A4233" s="7"/>
      <c r="B4233" s="7"/>
      <c r="C4233" s="7"/>
      <c r="D4233" s="34"/>
      <c r="E4233" s="34"/>
      <c r="F4233" s="34"/>
    </row>
    <row r="4234" ht="15.6" customHeight="1" spans="1:6">
      <c r="A4234" s="7"/>
      <c r="B4234" s="7"/>
      <c r="C4234" s="7"/>
      <c r="D4234" s="34"/>
      <c r="E4234" s="34"/>
      <c r="F4234" s="34"/>
    </row>
    <row r="4235" ht="15.6" customHeight="1" spans="1:6">
      <c r="A4235" s="7"/>
      <c r="B4235" s="7"/>
      <c r="C4235" s="7"/>
      <c r="D4235" s="34"/>
      <c r="E4235" s="34"/>
      <c r="F4235" s="34"/>
    </row>
    <row r="4236" ht="15.6" customHeight="1" spans="1:6">
      <c r="A4236" s="7"/>
      <c r="B4236" s="7"/>
      <c r="C4236" s="7"/>
      <c r="D4236" s="34"/>
      <c r="E4236" s="34"/>
      <c r="F4236" s="34"/>
    </row>
    <row r="4237" customHeight="1" spans="1:6">
      <c r="A4237" s="248" t="s">
        <v>881</v>
      </c>
      <c r="B4237" s="225"/>
      <c r="C4237" s="225"/>
      <c r="D4237" s="225"/>
      <c r="E4237" s="225"/>
      <c r="F4237" s="225"/>
    </row>
    <row r="4238" customHeight="1" spans="1:6">
      <c r="A4238" s="278" t="s">
        <v>1280</v>
      </c>
      <c r="B4238" s="272"/>
      <c r="C4238" s="272"/>
      <c r="D4238" s="272"/>
      <c r="E4238" s="272"/>
      <c r="F4238" s="272"/>
    </row>
    <row r="4239" customHeight="1" spans="1:6">
      <c r="A4239" s="227" t="s">
        <v>1281</v>
      </c>
      <c r="B4239" s="227"/>
      <c r="C4239" s="229"/>
      <c r="D4239" s="229"/>
      <c r="E4239" s="228" t="s">
        <v>946</v>
      </c>
      <c r="F4239" s="228"/>
    </row>
    <row r="4240" customHeight="1" spans="1:6">
      <c r="A4240" s="232" t="s">
        <v>1282</v>
      </c>
      <c r="B4240" s="234"/>
      <c r="C4240" s="233"/>
      <c r="D4240" s="233"/>
      <c r="E4240" s="233"/>
      <c r="F4240" s="147"/>
    </row>
    <row r="4241" customHeight="1" spans="1:6">
      <c r="A4241" s="7" t="s">
        <v>104</v>
      </c>
      <c r="B4241" s="7" t="s">
        <v>835</v>
      </c>
      <c r="C4241" s="7" t="s">
        <v>159</v>
      </c>
      <c r="D4241" s="7" t="s">
        <v>422</v>
      </c>
      <c r="E4241" s="7" t="s">
        <v>160</v>
      </c>
      <c r="F4241" s="7" t="s">
        <v>18</v>
      </c>
    </row>
    <row r="4242" customHeight="1" spans="1:6">
      <c r="A4242" s="7" t="s">
        <v>1105</v>
      </c>
      <c r="B4242" s="7" t="s">
        <v>837</v>
      </c>
      <c r="C4242" s="7"/>
      <c r="D4242" s="7"/>
      <c r="E4242" s="7"/>
      <c r="F4242" s="34">
        <f>F4243+F4255+F4256</f>
        <v>15400.2845480993</v>
      </c>
    </row>
    <row r="4243" customHeight="1" spans="1:8">
      <c r="A4243" s="7" t="s">
        <v>539</v>
      </c>
      <c r="B4243" s="7" t="s">
        <v>838</v>
      </c>
      <c r="C4243" s="7"/>
      <c r="D4243" s="7"/>
      <c r="E4243" s="7"/>
      <c r="F4243" s="34">
        <f>F4244+F4247+F4251</f>
        <v>14694.9280039115</v>
      </c>
      <c r="H4243" s="223" t="s">
        <v>1283</v>
      </c>
    </row>
    <row r="4244" customHeight="1" spans="1:14">
      <c r="A4244" s="7">
        <v>1</v>
      </c>
      <c r="B4244" s="7" t="s">
        <v>839</v>
      </c>
      <c r="C4244" s="7" t="s">
        <v>840</v>
      </c>
      <c r="D4244" s="34"/>
      <c r="E4244" s="42">
        <f>SUM(E4245:E4246)</f>
        <v>1107.3</v>
      </c>
      <c r="F4244" s="69">
        <f>SUM(F4245:F4246)</f>
        <v>8195.104</v>
      </c>
      <c r="H4244" s="223">
        <f>0.28-0.25</f>
        <v>0.03</v>
      </c>
      <c r="I4244" s="223">
        <f>818.4*4</f>
        <v>3273.6</v>
      </c>
      <c r="J4244" s="223">
        <f>350.8*4</f>
        <v>1403.2</v>
      </c>
      <c r="K4244" s="223">
        <f>84.3*4</f>
        <v>337.2</v>
      </c>
      <c r="L4244" s="223">
        <f>29.4*4</f>
        <v>117.6</v>
      </c>
      <c r="M4244" s="223">
        <f>3.92*4</f>
        <v>15.68</v>
      </c>
      <c r="N4244" s="223">
        <f>121.66*4</f>
        <v>486.64</v>
      </c>
    </row>
    <row r="4245" customHeight="1" spans="1:14">
      <c r="A4245" s="7"/>
      <c r="B4245" s="7" t="s">
        <v>841</v>
      </c>
      <c r="C4245" s="7" t="s">
        <v>840</v>
      </c>
      <c r="D4245" s="69">
        <f>D4113</f>
        <v>8.1</v>
      </c>
      <c r="E4245" s="42">
        <v>775.1</v>
      </c>
      <c r="F4245" s="69">
        <f>D4245*E4245</f>
        <v>6278.31</v>
      </c>
      <c r="H4245" s="223">
        <f>0.25-0.21</f>
        <v>0.04</v>
      </c>
      <c r="I4245" s="223">
        <f>3*775.1</f>
        <v>2325.3</v>
      </c>
      <c r="J4245" s="223">
        <f>332.3*3</f>
        <v>996.9</v>
      </c>
      <c r="K4245" s="223">
        <f>79.5*3</f>
        <v>238.5</v>
      </c>
      <c r="L4245" s="223">
        <f>34.2*3</f>
        <v>102.6</v>
      </c>
      <c r="M4245" s="223">
        <f>4.81*3</f>
        <v>14.43</v>
      </c>
      <c r="N4245" s="223">
        <f>123.27*3</f>
        <v>369.81</v>
      </c>
    </row>
    <row r="4246" customHeight="1" spans="1:14">
      <c r="A4246" s="7"/>
      <c r="B4246" s="7" t="s">
        <v>842</v>
      </c>
      <c r="C4246" s="7" t="s">
        <v>840</v>
      </c>
      <c r="D4246" s="69">
        <f>D4114</f>
        <v>5.77</v>
      </c>
      <c r="E4246" s="42">
        <v>332.2</v>
      </c>
      <c r="F4246" s="69">
        <f>D4246*E4246</f>
        <v>1916.794</v>
      </c>
      <c r="I4246" s="223">
        <f t="shared" ref="I4246:N4246" si="252">I4244+I4245</f>
        <v>5598.9</v>
      </c>
      <c r="J4246" s="223">
        <f t="shared" si="252"/>
        <v>2400.1</v>
      </c>
      <c r="K4246" s="223">
        <f t="shared" si="252"/>
        <v>575.7</v>
      </c>
      <c r="L4246" s="223">
        <f t="shared" si="252"/>
        <v>220.2</v>
      </c>
      <c r="M4246" s="223">
        <f t="shared" si="252"/>
        <v>30.11</v>
      </c>
      <c r="N4246" s="223">
        <f t="shared" si="252"/>
        <v>856.45</v>
      </c>
    </row>
    <row r="4247" customHeight="1" spans="1:14">
      <c r="A4247" s="7">
        <v>2</v>
      </c>
      <c r="B4247" s="7" t="s">
        <v>912</v>
      </c>
      <c r="C4247" s="7"/>
      <c r="D4247" s="34"/>
      <c r="E4247" s="34"/>
      <c r="F4247" s="34">
        <f>SUM(F4248:F4250)</f>
        <v>6284.5301994201</v>
      </c>
      <c r="I4247" s="333">
        <f t="shared" ref="I4247:N4247" si="253">I4246/7</f>
        <v>799.842857142857</v>
      </c>
      <c r="J4247" s="333">
        <f t="shared" si="253"/>
        <v>342.871428571429</v>
      </c>
      <c r="K4247" s="333">
        <f t="shared" si="253"/>
        <v>82.2428571428571</v>
      </c>
      <c r="L4247" s="333">
        <f t="shared" si="253"/>
        <v>31.4571428571429</v>
      </c>
      <c r="M4247" s="333">
        <f t="shared" si="253"/>
        <v>4.30142857142857</v>
      </c>
      <c r="N4247" s="333">
        <f t="shared" si="253"/>
        <v>122.35</v>
      </c>
    </row>
    <row r="4248" customHeight="1" spans="1:6">
      <c r="A4248" s="7"/>
      <c r="B4248" s="273" t="s">
        <v>1284</v>
      </c>
      <c r="C4248" s="273" t="s">
        <v>1187</v>
      </c>
      <c r="D4248" s="34"/>
      <c r="E4248" s="273">
        <v>79.5</v>
      </c>
      <c r="F4248" s="34">
        <f>D4248*E4248</f>
        <v>0</v>
      </c>
    </row>
    <row r="4249" customHeight="1" spans="1:6">
      <c r="A4249" s="7"/>
      <c r="B4249" s="273" t="s">
        <v>1285</v>
      </c>
      <c r="C4249" s="273" t="s">
        <v>1187</v>
      </c>
      <c r="D4249" s="34">
        <f>D4369</f>
        <v>182.8439731</v>
      </c>
      <c r="E4249" s="273">
        <v>34.2</v>
      </c>
      <c r="F4249" s="34">
        <f>D4249*E4249</f>
        <v>6253.26388002</v>
      </c>
    </row>
    <row r="4250" customHeight="1" spans="1:6">
      <c r="A4250" s="7"/>
      <c r="B4250" s="273" t="s">
        <v>952</v>
      </c>
      <c r="C4250" s="273" t="s">
        <v>845</v>
      </c>
      <c r="D4250" s="34">
        <f>F4248+F4249</f>
        <v>6253.26388002</v>
      </c>
      <c r="E4250" s="329">
        <v>0.5</v>
      </c>
      <c r="F4250" s="34">
        <f>D4250*E4250/100</f>
        <v>31.2663194001</v>
      </c>
    </row>
    <row r="4251" customHeight="1" spans="1:6">
      <c r="A4251" s="7">
        <v>3</v>
      </c>
      <c r="B4251" s="7" t="s">
        <v>859</v>
      </c>
      <c r="C4251" s="7"/>
      <c r="D4251" s="34"/>
      <c r="E4251" s="34"/>
      <c r="F4251" s="34">
        <f>SUM(F4252:F4254)</f>
        <v>215.293804491424</v>
      </c>
    </row>
    <row r="4252" customHeight="1" spans="1:6">
      <c r="A4252" s="7"/>
      <c r="B4252" s="7" t="s">
        <v>1008</v>
      </c>
      <c r="C4252" s="7" t="s">
        <v>428</v>
      </c>
      <c r="D4252" s="34">
        <f>台时!D42</f>
        <v>23.9179521340247</v>
      </c>
      <c r="E4252" s="34">
        <v>4.81</v>
      </c>
      <c r="F4252" s="34">
        <f>D4252*E4252</f>
        <v>115.045349764659</v>
      </c>
    </row>
    <row r="4253" customHeight="1" spans="1:6">
      <c r="A4253" s="7"/>
      <c r="B4253" s="7" t="s">
        <v>967</v>
      </c>
      <c r="C4253" s="7" t="s">
        <v>428</v>
      </c>
      <c r="D4253" s="34">
        <f>台时!C42</f>
        <v>0.813242919824491</v>
      </c>
      <c r="E4253" s="7">
        <v>123.27</v>
      </c>
      <c r="F4253" s="34">
        <f>D4253*E4253</f>
        <v>100.248454726765</v>
      </c>
    </row>
    <row r="4254" customHeight="1" spans="1:6">
      <c r="A4254" s="7"/>
      <c r="B4254" s="7" t="s">
        <v>1286</v>
      </c>
      <c r="C4254" s="7" t="s">
        <v>1187</v>
      </c>
      <c r="D4254" s="34"/>
      <c r="E4254" s="330">
        <v>90</v>
      </c>
      <c r="F4254" s="34">
        <f>D4254*E4254</f>
        <v>0</v>
      </c>
    </row>
    <row r="4255" customHeight="1" spans="1:6">
      <c r="A4255" s="7" t="s">
        <v>564</v>
      </c>
      <c r="B4255" s="7" t="s">
        <v>846</v>
      </c>
      <c r="C4255" s="52">
        <f>取费表!C6</f>
        <v>0.048</v>
      </c>
      <c r="D4255" s="34"/>
      <c r="E4255" s="34">
        <f>F4243</f>
        <v>14694.9280039115</v>
      </c>
      <c r="F4255" s="34">
        <f>E4255*C4255</f>
        <v>705.356544187753</v>
      </c>
    </row>
    <row r="4256" customHeight="1" spans="1:6">
      <c r="A4256" s="7"/>
      <c r="B4256" s="7"/>
      <c r="C4256" s="52"/>
      <c r="D4256" s="34"/>
      <c r="E4256" s="34"/>
      <c r="F4256" s="34"/>
    </row>
    <row r="4257" customHeight="1" spans="1:6">
      <c r="A4257" s="7" t="s">
        <v>439</v>
      </c>
      <c r="B4257" s="7" t="s">
        <v>847</v>
      </c>
      <c r="C4257" s="52">
        <f>取费表!E6</f>
        <v>0.085</v>
      </c>
      <c r="D4257" s="34"/>
      <c r="E4257" s="34">
        <f>F4242</f>
        <v>15400.2845480993</v>
      </c>
      <c r="F4257" s="34">
        <f>E4257*C4257</f>
        <v>1309.02418658844</v>
      </c>
    </row>
    <row r="4258" customHeight="1" spans="1:6">
      <c r="A4258" s="7" t="s">
        <v>83</v>
      </c>
      <c r="B4258" s="7" t="s">
        <v>848</v>
      </c>
      <c r="C4258" s="326">
        <f>取费表!F6</f>
        <v>0.07</v>
      </c>
      <c r="D4258" s="34"/>
      <c r="E4258" s="34">
        <f>F4257+F4242</f>
        <v>16709.3087346877</v>
      </c>
      <c r="F4258" s="34">
        <f>E4258*C4258</f>
        <v>1169.65161142814</v>
      </c>
    </row>
    <row r="4259" customHeight="1" spans="1:6">
      <c r="A4259" s="7" t="s">
        <v>135</v>
      </c>
      <c r="B4259" s="7" t="s">
        <v>849</v>
      </c>
      <c r="C4259" s="53">
        <f>取费表!G6</f>
        <v>0.09</v>
      </c>
      <c r="D4259" s="34"/>
      <c r="E4259" s="34">
        <f>F4242+F4257+F4258</f>
        <v>17878.9603461159</v>
      </c>
      <c r="F4259" s="34">
        <f>E4259*C4259</f>
        <v>1609.10643115043</v>
      </c>
    </row>
    <row r="4260" customHeight="1" spans="1:6">
      <c r="A4260" s="7"/>
      <c r="B4260" s="7" t="s">
        <v>850</v>
      </c>
      <c r="C4260" s="53"/>
      <c r="D4260" s="34"/>
      <c r="E4260" s="34"/>
      <c r="F4260" s="34">
        <f>(E4259+F4259)*取费表!H4</f>
        <v>584.642003317988</v>
      </c>
    </row>
    <row r="4261" customHeight="1" spans="1:6">
      <c r="A4261" s="7"/>
      <c r="B4261" s="7" t="s">
        <v>156</v>
      </c>
      <c r="C4261" s="7"/>
      <c r="D4261" s="34"/>
      <c r="E4261" s="34"/>
      <c r="F4261" s="34">
        <f>E4259+F4259+F4260</f>
        <v>20072.7087805843</v>
      </c>
    </row>
    <row r="4262" customHeight="1" spans="1:6">
      <c r="A4262" s="331"/>
      <c r="B4262" s="332"/>
      <c r="C4262" s="331"/>
      <c r="D4262" s="331"/>
      <c r="E4262" s="331"/>
      <c r="F4262" s="331"/>
    </row>
    <row r="4263" customHeight="1" spans="1:6">
      <c r="A4263" s="331"/>
      <c r="B4263" s="332"/>
      <c r="C4263" s="331"/>
      <c r="D4263" s="331"/>
      <c r="E4263" s="331"/>
      <c r="F4263" s="331"/>
    </row>
    <row r="4264" customHeight="1" spans="1:6">
      <c r="A4264" s="331"/>
      <c r="B4264" s="332"/>
      <c r="C4264" s="331"/>
      <c r="D4264" s="331"/>
      <c r="E4264" s="331"/>
      <c r="F4264" s="331"/>
    </row>
    <row r="4265" customHeight="1" spans="1:6">
      <c r="A4265" s="331"/>
      <c r="B4265" s="332"/>
      <c r="C4265" s="331"/>
      <c r="D4265" s="331"/>
      <c r="E4265" s="331"/>
      <c r="F4265" s="331"/>
    </row>
    <row r="4266" customHeight="1" spans="1:6">
      <c r="A4266" s="331"/>
      <c r="B4266" s="332"/>
      <c r="C4266" s="331"/>
      <c r="D4266" s="331"/>
      <c r="E4266" s="331"/>
      <c r="F4266" s="331"/>
    </row>
    <row r="4267" customHeight="1" spans="1:6">
      <c r="A4267" s="331"/>
      <c r="B4267" s="332"/>
      <c r="C4267" s="331"/>
      <c r="D4267" s="331"/>
      <c r="E4267" s="331"/>
      <c r="F4267" s="331"/>
    </row>
    <row r="4268" customHeight="1" spans="1:6">
      <c r="A4268" s="331"/>
      <c r="B4268" s="332"/>
      <c r="C4268" s="331"/>
      <c r="D4268" s="331"/>
      <c r="E4268" s="331"/>
      <c r="F4268" s="331"/>
    </row>
    <row r="4269" customHeight="1" spans="1:6">
      <c r="A4269" s="331"/>
      <c r="B4269" s="332"/>
      <c r="C4269" s="331"/>
      <c r="D4269" s="331"/>
      <c r="E4269" s="331"/>
      <c r="F4269" s="331"/>
    </row>
    <row r="4270" customHeight="1" spans="1:6">
      <c r="A4270" s="331"/>
      <c r="B4270" s="332"/>
      <c r="C4270" s="331"/>
      <c r="D4270" s="331"/>
      <c r="E4270" s="331"/>
      <c r="F4270" s="331"/>
    </row>
    <row r="4271" customHeight="1" spans="1:6">
      <c r="A4271" s="331"/>
      <c r="B4271" s="332"/>
      <c r="C4271" s="331"/>
      <c r="D4271" s="331"/>
      <c r="E4271" s="331"/>
      <c r="F4271" s="331"/>
    </row>
    <row r="4272" customHeight="1" spans="1:6">
      <c r="A4272" s="331"/>
      <c r="B4272" s="332"/>
      <c r="C4272" s="331"/>
      <c r="D4272" s="331"/>
      <c r="E4272" s="331"/>
      <c r="F4272" s="331"/>
    </row>
    <row r="4273" customHeight="1" spans="1:6">
      <c r="A4273" s="331"/>
      <c r="B4273" s="332"/>
      <c r="C4273" s="331"/>
      <c r="D4273" s="331"/>
      <c r="E4273" s="331"/>
      <c r="F4273" s="331"/>
    </row>
    <row r="4274" customHeight="1" spans="1:6">
      <c r="A4274" s="331"/>
      <c r="B4274" s="332"/>
      <c r="C4274" s="331"/>
      <c r="D4274" s="331"/>
      <c r="E4274" s="331"/>
      <c r="F4274" s="331"/>
    </row>
    <row r="4275" ht="15.6" customHeight="1" spans="1:6">
      <c r="A4275" s="248" t="s">
        <v>881</v>
      </c>
      <c r="B4275" s="225"/>
      <c r="C4275" s="225"/>
      <c r="D4275" s="225"/>
      <c r="E4275" s="225"/>
      <c r="F4275" s="225"/>
    </row>
    <row r="4276" ht="15.6" customHeight="1" spans="1:6">
      <c r="A4276" s="278" t="s">
        <v>1287</v>
      </c>
      <c r="B4276" s="272"/>
      <c r="C4276" s="272"/>
      <c r="D4276" s="272"/>
      <c r="E4276" s="272"/>
      <c r="F4276" s="272"/>
    </row>
    <row r="4277" ht="15.6" customHeight="1" spans="1:6">
      <c r="A4277" s="227" t="s">
        <v>1265</v>
      </c>
      <c r="B4277" s="227"/>
      <c r="C4277" s="272"/>
      <c r="D4277" s="272"/>
      <c r="E4277" s="228" t="s">
        <v>832</v>
      </c>
      <c r="F4277" s="228"/>
    </row>
    <row r="4278" ht="15.6" customHeight="1" spans="1:6">
      <c r="A4278" s="146" t="s">
        <v>911</v>
      </c>
      <c r="B4278" s="233"/>
      <c r="C4278" s="233"/>
      <c r="D4278" s="233"/>
      <c r="E4278" s="233"/>
      <c r="F4278" s="147"/>
    </row>
    <row r="4279" ht="15.6" customHeight="1" spans="1:6">
      <c r="A4279" s="7" t="s">
        <v>104</v>
      </c>
      <c r="B4279" s="7" t="s">
        <v>835</v>
      </c>
      <c r="C4279" s="7" t="s">
        <v>159</v>
      </c>
      <c r="D4279" s="7" t="s">
        <v>422</v>
      </c>
      <c r="E4279" s="7" t="s">
        <v>160</v>
      </c>
      <c r="F4279" s="7" t="s">
        <v>18</v>
      </c>
    </row>
    <row r="4280" ht="15.6" customHeight="1" spans="1:6">
      <c r="A4280" s="7" t="s">
        <v>836</v>
      </c>
      <c r="B4280" s="7" t="s">
        <v>839</v>
      </c>
      <c r="C4280" s="7" t="s">
        <v>840</v>
      </c>
      <c r="D4280" s="34"/>
      <c r="E4280" s="42">
        <f>SUM(E4281:E4282)</f>
        <v>1866.2</v>
      </c>
      <c r="F4280" s="69">
        <f>SUM(F4281:F4282)</f>
        <v>13755.267</v>
      </c>
    </row>
    <row r="4281" ht="15.6" customHeight="1" spans="1:6">
      <c r="A4281" s="7"/>
      <c r="B4281" s="7" t="s">
        <v>841</v>
      </c>
      <c r="C4281" s="7" t="s">
        <v>840</v>
      </c>
      <c r="D4281" s="69">
        <f>D4245</f>
        <v>8.1</v>
      </c>
      <c r="E4281" s="42">
        <v>1282.1</v>
      </c>
      <c r="F4281" s="69">
        <f t="shared" ref="F4281:F4287" si="254">D4281*E4281</f>
        <v>10385.01</v>
      </c>
    </row>
    <row r="4282" ht="15.6" customHeight="1" spans="1:6">
      <c r="A4282" s="7"/>
      <c r="B4282" s="7" t="s">
        <v>842</v>
      </c>
      <c r="C4282" s="7" t="s">
        <v>840</v>
      </c>
      <c r="D4282" s="69">
        <f>D4246</f>
        <v>5.77</v>
      </c>
      <c r="E4282" s="42">
        <v>584.1</v>
      </c>
      <c r="F4282" s="69">
        <f t="shared" si="254"/>
        <v>3370.257</v>
      </c>
    </row>
    <row r="4283" ht="15.6" customHeight="1" spans="1:6">
      <c r="A4283" s="7" t="s">
        <v>1110</v>
      </c>
      <c r="B4283" s="7" t="s">
        <v>912</v>
      </c>
      <c r="C4283" s="7"/>
      <c r="D4283" s="34"/>
      <c r="E4283" s="34"/>
      <c r="F4283" s="34">
        <f>SUM(F4284:F4288)</f>
        <v>20340.592662762</v>
      </c>
    </row>
    <row r="4284" ht="15.6" customHeight="1" spans="1:6">
      <c r="A4284" s="7"/>
      <c r="B4284" s="273" t="s">
        <v>1276</v>
      </c>
      <c r="C4284" s="273" t="s">
        <v>863</v>
      </c>
      <c r="D4284" s="34">
        <v>4.44</v>
      </c>
      <c r="E4284" s="34">
        <v>116.41</v>
      </c>
      <c r="F4284" s="34">
        <f t="shared" si="254"/>
        <v>516.8604</v>
      </c>
    </row>
    <row r="4285" ht="15.6" customHeight="1" spans="1:6">
      <c r="A4285" s="7"/>
      <c r="B4285" s="273" t="s">
        <v>1000</v>
      </c>
      <c r="C4285" s="273" t="s">
        <v>863</v>
      </c>
      <c r="D4285" s="34">
        <f t="shared" ref="D4285:D4293" si="255">D4117</f>
        <v>4.5</v>
      </c>
      <c r="E4285" s="34">
        <v>24.59</v>
      </c>
      <c r="F4285" s="34">
        <f t="shared" si="254"/>
        <v>110.655</v>
      </c>
    </row>
    <row r="4286" ht="15.6" customHeight="1" spans="1:6">
      <c r="A4286" s="7"/>
      <c r="B4286" s="7" t="s">
        <v>1003</v>
      </c>
      <c r="C4286" s="7" t="s">
        <v>169</v>
      </c>
      <c r="D4286" s="34">
        <f>配合比!M9</f>
        <v>182.8439731</v>
      </c>
      <c r="E4286" s="34">
        <v>102</v>
      </c>
      <c r="F4286" s="34">
        <f t="shared" si="254"/>
        <v>18650.0852562</v>
      </c>
    </row>
    <row r="4287" ht="15.6" customHeight="1" spans="1:6">
      <c r="A4287" s="7"/>
      <c r="B4287" s="7" t="s">
        <v>913</v>
      </c>
      <c r="C4287" s="7" t="s">
        <v>169</v>
      </c>
      <c r="D4287" s="34">
        <f t="shared" si="255"/>
        <v>3.59</v>
      </c>
      <c r="E4287" s="34">
        <v>240</v>
      </c>
      <c r="F4287" s="34">
        <f t="shared" si="254"/>
        <v>861.6</v>
      </c>
    </row>
    <row r="4288" ht="15.6" customHeight="1" spans="1:6">
      <c r="A4288" s="7"/>
      <c r="B4288" s="7" t="s">
        <v>1004</v>
      </c>
      <c r="C4288" s="9" t="s">
        <v>845</v>
      </c>
      <c r="D4288" s="34">
        <f>SUM(F4284:F4287)</f>
        <v>20139.2006562</v>
      </c>
      <c r="E4288" s="34">
        <v>1</v>
      </c>
      <c r="F4288" s="34">
        <f>D4288*E4288/100</f>
        <v>201.392006562</v>
      </c>
    </row>
    <row r="4289" ht="15.6" customHeight="1" spans="1:6">
      <c r="A4289" s="7" t="s">
        <v>1111</v>
      </c>
      <c r="B4289" s="7" t="s">
        <v>859</v>
      </c>
      <c r="C4289" s="7"/>
      <c r="D4289" s="34"/>
      <c r="E4289" s="34"/>
      <c r="F4289" s="34">
        <f>SUM(F4290:F4294)</f>
        <v>704.565705371839</v>
      </c>
    </row>
    <row r="4290" ht="15.6" customHeight="1" spans="1:6">
      <c r="A4290" s="7"/>
      <c r="B4290" s="7" t="s">
        <v>1008</v>
      </c>
      <c r="C4290" s="7" t="s">
        <v>428</v>
      </c>
      <c r="D4290" s="34">
        <f t="shared" si="255"/>
        <v>23.9179521340247</v>
      </c>
      <c r="E4290" s="34">
        <v>18.36</v>
      </c>
      <c r="F4290" s="34">
        <f>D4290*E4290</f>
        <v>439.133601180694</v>
      </c>
    </row>
    <row r="4291" ht="15.6" customHeight="1" spans="1:6">
      <c r="A4291" s="7"/>
      <c r="B4291" s="7" t="s">
        <v>1266</v>
      </c>
      <c r="C4291" s="7" t="s">
        <v>428</v>
      </c>
      <c r="D4291" s="34">
        <f t="shared" si="255"/>
        <v>1.82152692461109</v>
      </c>
      <c r="E4291" s="34">
        <v>35.6</v>
      </c>
      <c r="F4291" s="34">
        <f>D4291*E4291</f>
        <v>64.8463585161548</v>
      </c>
    </row>
    <row r="4292" ht="15.6" customHeight="1" spans="1:6">
      <c r="A4292" s="7"/>
      <c r="B4292" s="7" t="s">
        <v>1005</v>
      </c>
      <c r="C4292" s="7" t="s">
        <v>428</v>
      </c>
      <c r="D4292" s="34">
        <f t="shared" si="255"/>
        <v>49.389824491424</v>
      </c>
      <c r="E4292" s="251">
        <v>1.6</v>
      </c>
      <c r="F4292" s="34">
        <f>D4292*E4292</f>
        <v>79.0237191862784</v>
      </c>
    </row>
    <row r="4293" ht="15.6" customHeight="1" spans="1:6">
      <c r="A4293" s="7"/>
      <c r="B4293" s="7" t="s">
        <v>967</v>
      </c>
      <c r="C4293" s="7" t="s">
        <v>428</v>
      </c>
      <c r="D4293" s="34">
        <f t="shared" si="255"/>
        <v>0.813242919824491</v>
      </c>
      <c r="E4293" s="251">
        <v>92.8</v>
      </c>
      <c r="F4293" s="34">
        <f>D4293*E4293</f>
        <v>75.4689429597128</v>
      </c>
    </row>
    <row r="4294" ht="15.6" customHeight="1" spans="1:6">
      <c r="A4294" s="7"/>
      <c r="B4294" s="7" t="s">
        <v>918</v>
      </c>
      <c r="C4294" s="9" t="s">
        <v>845</v>
      </c>
      <c r="D4294" s="34">
        <f>SUM(F4290:F4293)</f>
        <v>658.47262184284</v>
      </c>
      <c r="E4294" s="34">
        <v>7</v>
      </c>
      <c r="F4294" s="34">
        <f>D4294*E4294/100</f>
        <v>46.0930835289988</v>
      </c>
    </row>
    <row r="4295" ht="15.6" customHeight="1" spans="1:6">
      <c r="A4295" s="7"/>
      <c r="B4295" s="7" t="s">
        <v>156</v>
      </c>
      <c r="C4295" s="7"/>
      <c r="D4295" s="34"/>
      <c r="E4295" s="34"/>
      <c r="F4295" s="34">
        <f>F4280+F4283+F4289</f>
        <v>34800.4253681338</v>
      </c>
    </row>
    <row r="4296" ht="15.6" customHeight="1" spans="1:6">
      <c r="A4296" s="248" t="s">
        <v>881</v>
      </c>
      <c r="B4296" s="225"/>
      <c r="C4296" s="225"/>
      <c r="D4296" s="225"/>
      <c r="E4296" s="225"/>
      <c r="F4296" s="225"/>
    </row>
    <row r="4297" ht="15.6" customHeight="1" spans="1:6">
      <c r="A4297" s="278" t="s">
        <v>1288</v>
      </c>
      <c r="B4297" s="272"/>
      <c r="C4297" s="272"/>
      <c r="D4297" s="272"/>
      <c r="E4297" s="272"/>
      <c r="F4297" s="272"/>
    </row>
    <row r="4298" ht="15.6" customHeight="1" spans="1:6">
      <c r="A4298" s="227" t="s">
        <v>1278</v>
      </c>
      <c r="B4298" s="227"/>
      <c r="C4298" s="229"/>
      <c r="D4298" s="229"/>
      <c r="E4298" s="228" t="s">
        <v>832</v>
      </c>
      <c r="F4298" s="228"/>
    </row>
    <row r="4299" ht="15.6" customHeight="1" spans="1:6">
      <c r="A4299" s="232" t="s">
        <v>911</v>
      </c>
      <c r="B4299" s="234"/>
      <c r="C4299" s="233"/>
      <c r="D4299" s="233"/>
      <c r="E4299" s="233"/>
      <c r="F4299" s="147"/>
    </row>
    <row r="4300" ht="15.6" customHeight="1" spans="1:6">
      <c r="A4300" s="7" t="s">
        <v>104</v>
      </c>
      <c r="B4300" s="7" t="s">
        <v>835</v>
      </c>
      <c r="C4300" s="7" t="s">
        <v>159</v>
      </c>
      <c r="D4300" s="7" t="s">
        <v>422</v>
      </c>
      <c r="E4300" s="7" t="s">
        <v>160</v>
      </c>
      <c r="F4300" s="7" t="s">
        <v>18</v>
      </c>
    </row>
    <row r="4301" ht="15.6" customHeight="1" spans="1:6">
      <c r="A4301" s="7" t="s">
        <v>836</v>
      </c>
      <c r="B4301" s="7" t="s">
        <v>837</v>
      </c>
      <c r="C4301" s="7"/>
      <c r="D4301" s="7"/>
      <c r="E4301" s="7"/>
      <c r="F4301" s="34">
        <f>F4302+F4310+F4311</f>
        <v>6272.7625779634</v>
      </c>
    </row>
    <row r="4302" ht="15.6" customHeight="1" spans="1:6">
      <c r="A4302" s="7" t="s">
        <v>539</v>
      </c>
      <c r="B4302" s="7" t="s">
        <v>838</v>
      </c>
      <c r="C4302" s="7"/>
      <c r="D4302" s="7"/>
      <c r="E4302" s="7"/>
      <c r="F4302" s="34">
        <f>F4303+F4306+F4308</f>
        <v>5985.46047515591</v>
      </c>
    </row>
    <row r="4303" ht="15.6" customHeight="1" spans="1:6">
      <c r="A4303" s="7">
        <v>1</v>
      </c>
      <c r="B4303" s="7" t="s">
        <v>839</v>
      </c>
      <c r="C4303" s="7" t="s">
        <v>840</v>
      </c>
      <c r="D4303" s="34"/>
      <c r="E4303" s="42">
        <f>SUM(E4304:E4305)</f>
        <v>176.6</v>
      </c>
      <c r="F4303" s="69">
        <f>F4305</f>
        <v>1018.982</v>
      </c>
    </row>
    <row r="4304" ht="15.6" customHeight="1" spans="1:8">
      <c r="A4304" s="7"/>
      <c r="B4304" s="7" t="s">
        <v>841</v>
      </c>
      <c r="C4304" s="7" t="s">
        <v>840</v>
      </c>
      <c r="D4304" s="69">
        <f>D4281</f>
        <v>8.1</v>
      </c>
      <c r="E4304" s="42">
        <v>0</v>
      </c>
      <c r="F4304" s="69">
        <f t="shared" ref="F4304:F4309" si="256">D4304*E4304</f>
        <v>0</v>
      </c>
      <c r="H4304" s="223">
        <f>0.5*20</f>
        <v>10</v>
      </c>
    </row>
    <row r="4305" ht="15.6" customHeight="1" spans="1:6">
      <c r="A4305" s="7"/>
      <c r="B4305" s="7" t="s">
        <v>842</v>
      </c>
      <c r="C4305" s="7" t="s">
        <v>840</v>
      </c>
      <c r="D4305" s="69">
        <f>D4282</f>
        <v>5.77</v>
      </c>
      <c r="E4305" s="42">
        <f>176.6</f>
        <v>176.6</v>
      </c>
      <c r="F4305" s="69">
        <f t="shared" si="256"/>
        <v>1018.982</v>
      </c>
    </row>
    <row r="4306" ht="15.6" customHeight="1" spans="1:6">
      <c r="A4306" s="7">
        <v>2</v>
      </c>
      <c r="B4306" s="7" t="s">
        <v>912</v>
      </c>
      <c r="C4306" s="7"/>
      <c r="D4306" s="34"/>
      <c r="E4306" s="34"/>
      <c r="F4306" s="34">
        <f>F4307</f>
        <v>702.618043420774</v>
      </c>
    </row>
    <row r="4307" ht="15.6" customHeight="1" spans="1:6">
      <c r="A4307" s="7"/>
      <c r="B4307" s="7" t="s">
        <v>844</v>
      </c>
      <c r="C4307" s="300" t="s">
        <v>845</v>
      </c>
      <c r="D4307" s="34">
        <f>F4303+F4308</f>
        <v>5282.84243173514</v>
      </c>
      <c r="E4307" s="327">
        <v>0.133</v>
      </c>
      <c r="F4307" s="34">
        <f>E4307*D4307</f>
        <v>702.618043420774</v>
      </c>
    </row>
    <row r="4308" ht="15.6" customHeight="1" spans="1:6">
      <c r="A4308" s="7">
        <v>3</v>
      </c>
      <c r="B4308" s="7" t="s">
        <v>859</v>
      </c>
      <c r="C4308" s="7"/>
      <c r="D4308" s="34"/>
      <c r="E4308" s="34"/>
      <c r="F4308" s="34">
        <f>F4309</f>
        <v>4263.86043173514</v>
      </c>
    </row>
    <row r="4309" ht="15.6" customHeight="1" spans="1:6">
      <c r="A4309" s="7"/>
      <c r="B4309" s="7" t="s">
        <v>1279</v>
      </c>
      <c r="C4309" s="7" t="s">
        <v>428</v>
      </c>
      <c r="D4309" s="34">
        <f>D4206</f>
        <v>15.9123019545273</v>
      </c>
      <c r="E4309" s="334">
        <f>66.36+12.6*8*2</f>
        <v>267.96</v>
      </c>
      <c r="F4309" s="34">
        <f t="shared" si="256"/>
        <v>4263.86043173514</v>
      </c>
    </row>
    <row r="4310" ht="15.6" customHeight="1" spans="1:6">
      <c r="A4310" s="7" t="s">
        <v>564</v>
      </c>
      <c r="B4310" s="7" t="s">
        <v>846</v>
      </c>
      <c r="C4310" s="230">
        <f>C4207</f>
        <v>0.048</v>
      </c>
      <c r="D4310" s="34"/>
      <c r="E4310" s="254">
        <f>F4302</f>
        <v>5985.46047515591</v>
      </c>
      <c r="F4310" s="34">
        <f>E4310*C4310</f>
        <v>287.302102807484</v>
      </c>
    </row>
    <row r="4311" ht="15.6" customHeight="1" spans="1:6">
      <c r="A4311" s="7"/>
      <c r="B4311" s="7"/>
      <c r="C4311" s="230"/>
      <c r="D4311" s="34"/>
      <c r="E4311" s="254"/>
      <c r="F4311" s="34"/>
    </row>
    <row r="4312" ht="15.6" customHeight="1" spans="1:6">
      <c r="A4312" s="7" t="s">
        <v>439</v>
      </c>
      <c r="B4312" s="7" t="s">
        <v>847</v>
      </c>
      <c r="C4312" s="230">
        <f>C4209</f>
        <v>0.07</v>
      </c>
      <c r="D4312" s="34"/>
      <c r="E4312" s="254">
        <f>F4301</f>
        <v>6272.7625779634</v>
      </c>
      <c r="F4312" s="34">
        <f>E4312*C4312</f>
        <v>439.093380457438</v>
      </c>
    </row>
    <row r="4313" ht="15.6" customHeight="1" spans="1:6">
      <c r="A4313" s="7" t="s">
        <v>83</v>
      </c>
      <c r="B4313" s="7" t="s">
        <v>848</v>
      </c>
      <c r="C4313" s="230">
        <f>C4210</f>
        <v>0.07</v>
      </c>
      <c r="D4313" s="34"/>
      <c r="E4313" s="254">
        <f>F4312+F4301</f>
        <v>6711.85595842084</v>
      </c>
      <c r="F4313" s="34">
        <f>E4313*C4313</f>
        <v>469.829917089459</v>
      </c>
    </row>
    <row r="4314" ht="15.6" customHeight="1" spans="1:6">
      <c r="A4314" s="7" t="s">
        <v>121</v>
      </c>
      <c r="B4314" s="7" t="s">
        <v>861</v>
      </c>
      <c r="C4314" s="9"/>
      <c r="D4314" s="34"/>
      <c r="E4314" s="7"/>
      <c r="F4314" s="69">
        <f>SUM(F4315:F4315)</f>
        <v>2086.33656</v>
      </c>
    </row>
    <row r="4315" ht="15.6" customHeight="1" spans="1:6">
      <c r="A4315" s="7"/>
      <c r="B4315" s="7" t="s">
        <v>862</v>
      </c>
      <c r="C4315" s="9" t="s">
        <v>863</v>
      </c>
      <c r="D4315" s="34">
        <f>D4212</f>
        <v>4.58</v>
      </c>
      <c r="E4315" s="38">
        <f>(E4309*1.7)</f>
        <v>455.532</v>
      </c>
      <c r="F4315" s="69">
        <f>D4315*E4315</f>
        <v>2086.33656</v>
      </c>
    </row>
    <row r="4316" ht="15.6" customHeight="1" spans="1:6">
      <c r="A4316" s="7" t="s">
        <v>135</v>
      </c>
      <c r="B4316" s="7" t="s">
        <v>849</v>
      </c>
      <c r="C4316" s="231">
        <f>取费表!G7</f>
        <v>0.09</v>
      </c>
      <c r="D4316" s="34"/>
      <c r="E4316" s="34">
        <f>F4314+F4313+F4312+F4301</f>
        <v>9268.0224355103</v>
      </c>
      <c r="F4316" s="34">
        <f>E4316*C4316</f>
        <v>834.122019195927</v>
      </c>
    </row>
    <row r="4317" ht="15.6" customHeight="1" spans="1:6">
      <c r="A4317" s="7"/>
      <c r="B4317" s="7" t="s">
        <v>850</v>
      </c>
      <c r="C4317" s="231"/>
      <c r="D4317" s="34"/>
      <c r="E4317" s="34"/>
      <c r="F4317" s="34">
        <f>(F4301+F4312+F4313+F4314+F4316)*取费表!H4</f>
        <v>303.064333641187</v>
      </c>
    </row>
    <row r="4318" ht="15.6" customHeight="1" spans="1:6">
      <c r="A4318" s="7"/>
      <c r="B4318" s="7" t="s">
        <v>156</v>
      </c>
      <c r="C4318" s="7"/>
      <c r="D4318" s="34"/>
      <c r="E4318" s="34"/>
      <c r="F4318" s="34">
        <f>F4316+E4316+F4317</f>
        <v>10405.2087883474</v>
      </c>
    </row>
    <row r="4319" customHeight="1" spans="1:6">
      <c r="A4319" s="248" t="s">
        <v>881</v>
      </c>
      <c r="B4319" s="225"/>
      <c r="C4319" s="225"/>
      <c r="D4319" s="225"/>
      <c r="E4319" s="225"/>
      <c r="F4319" s="225"/>
    </row>
    <row r="4320" customHeight="1" spans="1:6">
      <c r="A4320" s="278" t="s">
        <v>1280</v>
      </c>
      <c r="B4320" s="272"/>
      <c r="C4320" s="272"/>
      <c r="D4320" s="272"/>
      <c r="E4320" s="272"/>
      <c r="F4320" s="272"/>
    </row>
    <row r="4321" customHeight="1" spans="1:6">
      <c r="A4321" s="227" t="s">
        <v>1289</v>
      </c>
      <c r="B4321" s="227"/>
      <c r="C4321" s="229"/>
      <c r="D4321" s="229"/>
      <c r="E4321" s="228" t="s">
        <v>946</v>
      </c>
      <c r="F4321" s="228"/>
    </row>
    <row r="4322" customHeight="1" spans="1:6">
      <c r="A4322" s="232" t="s">
        <v>1290</v>
      </c>
      <c r="B4322" s="234"/>
      <c r="C4322" s="233"/>
      <c r="D4322" s="233"/>
      <c r="E4322" s="233"/>
      <c r="F4322" s="147"/>
    </row>
    <row r="4323" customHeight="1" spans="1:6">
      <c r="A4323" s="7" t="s">
        <v>104</v>
      </c>
      <c r="B4323" s="7" t="s">
        <v>835</v>
      </c>
      <c r="C4323" s="7" t="s">
        <v>159</v>
      </c>
      <c r="D4323" s="7" t="s">
        <v>422</v>
      </c>
      <c r="E4323" s="7" t="s">
        <v>160</v>
      </c>
      <c r="F4323" s="7" t="s">
        <v>18</v>
      </c>
    </row>
    <row r="4324" customHeight="1" spans="1:6">
      <c r="A4324" s="7" t="s">
        <v>1105</v>
      </c>
      <c r="B4324" s="7" t="s">
        <v>837</v>
      </c>
      <c r="C4324" s="7"/>
      <c r="D4324" s="7"/>
      <c r="E4324" s="7"/>
      <c r="F4324" s="34">
        <f>F4325+F4337+F4338</f>
        <v>53453.7302637962</v>
      </c>
    </row>
    <row r="4325" customHeight="1" spans="1:6">
      <c r="A4325" s="7" t="s">
        <v>539</v>
      </c>
      <c r="B4325" s="7" t="s">
        <v>838</v>
      </c>
      <c r="C4325" s="7"/>
      <c r="D4325" s="7"/>
      <c r="E4325" s="7"/>
      <c r="F4325" s="34">
        <f>F4326+F4329+F4333</f>
        <v>51005.4678089659</v>
      </c>
    </row>
    <row r="4326" customHeight="1" spans="1:6">
      <c r="A4326" s="7">
        <v>1</v>
      </c>
      <c r="B4326" s="7" t="s">
        <v>839</v>
      </c>
      <c r="C4326" s="7" t="s">
        <v>840</v>
      </c>
      <c r="D4326" s="34"/>
      <c r="E4326" s="42">
        <f>SUM(E4327:E4328)</f>
        <v>1239.9</v>
      </c>
      <c r="F4326" s="69">
        <f>SUM(F4327:F4328)</f>
        <v>9176.43</v>
      </c>
    </row>
    <row r="4327" customHeight="1" spans="1:6">
      <c r="A4327" s="7"/>
      <c r="B4327" s="7" t="s">
        <v>841</v>
      </c>
      <c r="C4327" s="7" t="s">
        <v>840</v>
      </c>
      <c r="D4327" s="69">
        <f>D4281</f>
        <v>8.1</v>
      </c>
      <c r="E4327" s="69">
        <v>867.9</v>
      </c>
      <c r="F4327" s="69">
        <f>D4327*E4327</f>
        <v>7029.99</v>
      </c>
    </row>
    <row r="4328" customHeight="1" spans="1:6">
      <c r="A4328" s="7"/>
      <c r="B4328" s="7" t="s">
        <v>842</v>
      </c>
      <c r="C4328" s="7" t="s">
        <v>840</v>
      </c>
      <c r="D4328" s="69">
        <f>D4282</f>
        <v>5.77</v>
      </c>
      <c r="E4328" s="69">
        <v>372</v>
      </c>
      <c r="F4328" s="69">
        <f>D4328*E4328</f>
        <v>2146.44</v>
      </c>
    </row>
    <row r="4329" customHeight="1" spans="1:6">
      <c r="A4329" s="7">
        <v>2</v>
      </c>
      <c r="B4329" s="7" t="s">
        <v>912</v>
      </c>
      <c r="C4329" s="7"/>
      <c r="D4329" s="34"/>
      <c r="E4329" s="34"/>
      <c r="F4329" s="34">
        <f>SUM(F4330:F4332)</f>
        <v>36164.0260827279</v>
      </c>
    </row>
    <row r="4330" customHeight="1" spans="1:6">
      <c r="A4330" s="7"/>
      <c r="B4330" s="273" t="s">
        <v>1284</v>
      </c>
      <c r="C4330" s="273" t="s">
        <v>1187</v>
      </c>
      <c r="D4330" s="34">
        <f>F4295/100</f>
        <v>348.004253681338</v>
      </c>
      <c r="E4330" s="273">
        <v>92</v>
      </c>
      <c r="F4330" s="34">
        <f>D4330*E4330</f>
        <v>32016.3913386831</v>
      </c>
    </row>
    <row r="4331" customHeight="1" spans="1:6">
      <c r="A4331" s="7"/>
      <c r="B4331" s="273" t="s">
        <v>1285</v>
      </c>
      <c r="C4331" s="273" t="s">
        <v>1187</v>
      </c>
      <c r="D4331" s="34">
        <f>配合比!M9</f>
        <v>182.8439731</v>
      </c>
      <c r="E4331" s="273">
        <v>21.7</v>
      </c>
      <c r="F4331" s="34">
        <f>D4331*E4331</f>
        <v>3967.71421627</v>
      </c>
    </row>
    <row r="4332" customHeight="1" spans="1:6">
      <c r="A4332" s="7"/>
      <c r="B4332" s="7" t="s">
        <v>952</v>
      </c>
      <c r="C4332" s="7" t="s">
        <v>845</v>
      </c>
      <c r="D4332" s="34">
        <f>F4330+F4331</f>
        <v>35984.1055549531</v>
      </c>
      <c r="E4332" s="246">
        <v>0.5</v>
      </c>
      <c r="F4332" s="34">
        <f>D4332*E4332/100</f>
        <v>179.920527774766</v>
      </c>
    </row>
    <row r="4333" customHeight="1" spans="1:6">
      <c r="A4333" s="7">
        <v>3</v>
      </c>
      <c r="B4333" s="7" t="s">
        <v>859</v>
      </c>
      <c r="C4333" s="7"/>
      <c r="D4333" s="34"/>
      <c r="E4333" s="34"/>
      <c r="F4333" s="34">
        <f>SUM(F4334:F4336)</f>
        <v>5665.01172623798</v>
      </c>
    </row>
    <row r="4334" customHeight="1" spans="1:6">
      <c r="A4334" s="7"/>
      <c r="B4334" s="7" t="s">
        <v>1008</v>
      </c>
      <c r="C4334" s="7" t="s">
        <v>428</v>
      </c>
      <c r="D4334" s="34">
        <f>D4252</f>
        <v>23.9179521340247</v>
      </c>
      <c r="E4334" s="34">
        <v>2.56</v>
      </c>
      <c r="F4334" s="34">
        <f>D4334*E4334</f>
        <v>61.2299574631033</v>
      </c>
    </row>
    <row r="4335" customHeight="1" spans="1:6">
      <c r="A4335" s="7"/>
      <c r="B4335" s="7" t="s">
        <v>967</v>
      </c>
      <c r="C4335" s="7" t="s">
        <v>428</v>
      </c>
      <c r="D4335" s="34">
        <f>D4253</f>
        <v>0.813242919824491</v>
      </c>
      <c r="E4335" s="7">
        <v>119.47</v>
      </c>
      <c r="F4335" s="34">
        <f>D4335*E4335</f>
        <v>97.158131631432</v>
      </c>
    </row>
    <row r="4336" customHeight="1" spans="1:6">
      <c r="A4336" s="7"/>
      <c r="B4336" s="7" t="s">
        <v>1286</v>
      </c>
      <c r="C4336" s="7" t="s">
        <v>1187</v>
      </c>
      <c r="D4336" s="34">
        <f>F4302/100</f>
        <v>59.8546047515591</v>
      </c>
      <c r="E4336" s="330">
        <f>E4330</f>
        <v>92</v>
      </c>
      <c r="F4336" s="34">
        <f>D4336*E4336</f>
        <v>5506.62363714344</v>
      </c>
    </row>
    <row r="4337" customHeight="1" spans="1:6">
      <c r="A4337" s="7" t="s">
        <v>564</v>
      </c>
      <c r="B4337" s="7" t="s">
        <v>846</v>
      </c>
      <c r="C4337" s="52">
        <f>C4255</f>
        <v>0.048</v>
      </c>
      <c r="D4337" s="34"/>
      <c r="E4337" s="34">
        <f>F4325</f>
        <v>51005.4678089659</v>
      </c>
      <c r="F4337" s="34">
        <f>E4337*C4337</f>
        <v>2448.26245483036</v>
      </c>
    </row>
    <row r="4338" customHeight="1" spans="1:6">
      <c r="A4338" s="7"/>
      <c r="B4338" s="7"/>
      <c r="C4338" s="52"/>
      <c r="D4338" s="34"/>
      <c r="E4338" s="34"/>
      <c r="F4338" s="34"/>
    </row>
    <row r="4339" customHeight="1" spans="1:6">
      <c r="A4339" s="7" t="s">
        <v>439</v>
      </c>
      <c r="B4339" s="7" t="s">
        <v>847</v>
      </c>
      <c r="C4339" s="52">
        <f>C4257</f>
        <v>0.085</v>
      </c>
      <c r="D4339" s="34"/>
      <c r="E4339" s="34">
        <f>F4324</f>
        <v>53453.7302637962</v>
      </c>
      <c r="F4339" s="34">
        <f>E4339*C4339</f>
        <v>4543.56707242268</v>
      </c>
    </row>
    <row r="4340" customHeight="1" spans="1:6">
      <c r="A4340" s="7" t="s">
        <v>83</v>
      </c>
      <c r="B4340" s="7" t="s">
        <v>848</v>
      </c>
      <c r="C4340" s="52">
        <f>C4258</f>
        <v>0.07</v>
      </c>
      <c r="D4340" s="34"/>
      <c r="E4340" s="34">
        <f>F4339+F4324</f>
        <v>57997.2973362189</v>
      </c>
      <c r="F4340" s="34">
        <f>E4340*C4340</f>
        <v>4059.81081353532</v>
      </c>
    </row>
    <row r="4341" customHeight="1" spans="1:6">
      <c r="A4341" s="5" t="s">
        <v>121</v>
      </c>
      <c r="B4341" s="5" t="s">
        <v>861</v>
      </c>
      <c r="C4341" s="5"/>
      <c r="D4341" s="276"/>
      <c r="E4341" s="5"/>
      <c r="F4341" s="277">
        <f>F4342+F4346</f>
        <v>12542.1809488241</v>
      </c>
    </row>
    <row r="4342" customHeight="1" spans="1:6">
      <c r="A4342" s="7">
        <v>1</v>
      </c>
      <c r="B4342" s="7" t="s">
        <v>1011</v>
      </c>
      <c r="C4342" s="7"/>
      <c r="D4342" s="34"/>
      <c r="E4342" s="7"/>
      <c r="F4342" s="69">
        <f>SUM(F4343:F4345)</f>
        <v>10559.9557936241</v>
      </c>
    </row>
    <row r="4343" customHeight="1" spans="1:6">
      <c r="A4343" s="7"/>
      <c r="B4343" s="7" t="s">
        <v>979</v>
      </c>
      <c r="C4343" s="7" t="s">
        <v>200</v>
      </c>
      <c r="D4343" s="34">
        <f>材料预算价!K5-材料预算价!L5</f>
        <v>141.58936</v>
      </c>
      <c r="E4343" s="38">
        <f>E4330*1.02*配合比!E9+配合比!E9*新定额单价!E4331</f>
        <v>39.98123052</v>
      </c>
      <c r="F4343" s="69">
        <f>E4343*D4343</f>
        <v>5660.91684133927</v>
      </c>
    </row>
    <row r="4344" customHeight="1" spans="1:6">
      <c r="A4344" s="7"/>
      <c r="B4344" s="7" t="s">
        <v>961</v>
      </c>
      <c r="C4344" s="7" t="s">
        <v>169</v>
      </c>
      <c r="D4344" s="34">
        <f>材料预算价!K7-材料预算价!L7</f>
        <v>34.366056</v>
      </c>
      <c r="E4344" s="38">
        <f>E4330*1.03*配合比!G9+配合比!G9*新定额单价!E4331</f>
        <v>70.3045728</v>
      </c>
      <c r="F4344" s="69">
        <f>E4344*D4344</f>
        <v>2416.09088590088</v>
      </c>
    </row>
    <row r="4345" customHeight="1" spans="1:6">
      <c r="A4345" s="7"/>
      <c r="B4345" s="7" t="s">
        <v>1012</v>
      </c>
      <c r="C4345" s="7" t="s">
        <v>169</v>
      </c>
      <c r="D4345" s="34">
        <f>材料预算价!K8-材料预算价!L8</f>
        <v>29.13701</v>
      </c>
      <c r="E4345" s="38">
        <f>E4330*1.02*配合比!I9+配合比!I9*新定额单价!E4331</f>
        <v>85.21629592</v>
      </c>
      <c r="F4345" s="69">
        <f>E4345*D4345</f>
        <v>2482.948066384</v>
      </c>
    </row>
    <row r="4346" customHeight="1" spans="1:6">
      <c r="A4346" s="7">
        <v>2</v>
      </c>
      <c r="B4346" s="7" t="s">
        <v>1013</v>
      </c>
      <c r="C4346" s="7"/>
      <c r="D4346" s="34"/>
      <c r="E4346" s="38"/>
      <c r="F4346" s="69">
        <f>SUM(F4347:F4348)</f>
        <v>1982.2251552</v>
      </c>
    </row>
    <row r="4347" customHeight="1" spans="1:6">
      <c r="A4347" s="7"/>
      <c r="B4347" s="7" t="s">
        <v>862</v>
      </c>
      <c r="C4347" s="7" t="s">
        <v>863</v>
      </c>
      <c r="D4347" s="34">
        <f>D4315</f>
        <v>4.58</v>
      </c>
      <c r="E4347" s="38">
        <f>新定额单价!E4309*台时!C98*新定额单价!E4336/100</f>
        <v>419.08944</v>
      </c>
      <c r="F4347" s="69">
        <f>D4347*E4347</f>
        <v>1919.4296352</v>
      </c>
    </row>
    <row r="4348" customHeight="1" spans="1:6">
      <c r="A4348" s="7"/>
      <c r="B4348" s="7" t="s">
        <v>1269</v>
      </c>
      <c r="C4348" s="7" t="s">
        <v>863</v>
      </c>
      <c r="D4348" s="34">
        <f>材料预算价!K12-材料预算价!L12</f>
        <v>5.925</v>
      </c>
      <c r="E4348" s="38">
        <f>E4292*台时!H34*新定额单价!E4330/100</f>
        <v>10.5984</v>
      </c>
      <c r="F4348" s="69">
        <f>D4348*E4348</f>
        <v>62.79552</v>
      </c>
    </row>
    <row r="4349" customHeight="1" spans="1:6">
      <c r="A4349" s="7" t="s">
        <v>135</v>
      </c>
      <c r="B4349" s="7" t="s">
        <v>849</v>
      </c>
      <c r="C4349" s="53">
        <f>C4259</f>
        <v>0.09</v>
      </c>
      <c r="D4349" s="34"/>
      <c r="E4349" s="34">
        <f>F4341+F4340+F4339+F4324</f>
        <v>74599.2890985783</v>
      </c>
      <c r="F4349" s="34">
        <f>E4349*C4349</f>
        <v>6713.93601887205</v>
      </c>
    </row>
    <row r="4350" customHeight="1" spans="1:6">
      <c r="A4350" s="7"/>
      <c r="B4350" s="7" t="s">
        <v>850</v>
      </c>
      <c r="C4350" s="53"/>
      <c r="D4350" s="34"/>
      <c r="E4350" s="34"/>
      <c r="F4350" s="34">
        <f>(F4324+F4339+F4340+F4341+F4349)*5%</f>
        <v>4065.66125587252</v>
      </c>
    </row>
    <row r="4351" customHeight="1" spans="1:6">
      <c r="A4351" s="7"/>
      <c r="B4351" s="7" t="s">
        <v>156</v>
      </c>
      <c r="C4351" s="7"/>
      <c r="D4351" s="34"/>
      <c r="E4351" s="34"/>
      <c r="F4351" s="34">
        <f>F4349+E4349+F4350</f>
        <v>85378.8863733229</v>
      </c>
    </row>
    <row r="4352" customHeight="1" spans="1:6">
      <c r="A4352" s="331"/>
      <c r="B4352" s="7"/>
      <c r="C4352" s="7"/>
      <c r="D4352" s="34"/>
      <c r="E4352" s="34"/>
      <c r="F4352" s="34"/>
    </row>
    <row r="4353" customHeight="1" spans="1:6">
      <c r="A4353" s="331"/>
      <c r="B4353" s="7"/>
      <c r="C4353" s="7"/>
      <c r="D4353" s="34"/>
      <c r="E4353" s="34"/>
      <c r="F4353" s="34"/>
    </row>
    <row r="4354" customHeight="1" spans="1:6">
      <c r="A4354" s="331"/>
      <c r="B4354" s="7"/>
      <c r="C4354" s="7"/>
      <c r="D4354" s="34"/>
      <c r="E4354" s="34"/>
      <c r="F4354" s="34"/>
    </row>
    <row r="4355" customHeight="1" spans="1:6">
      <c r="A4355" s="331"/>
      <c r="B4355" s="332"/>
      <c r="C4355" s="331"/>
      <c r="D4355" s="331"/>
      <c r="E4355" s="331"/>
      <c r="F4355" s="331"/>
    </row>
    <row r="4356" customHeight="1" spans="1:6">
      <c r="A4356" s="331"/>
      <c r="B4356" s="332"/>
      <c r="C4356" s="331"/>
      <c r="D4356" s="331"/>
      <c r="E4356" s="331"/>
      <c r="F4356" s="331"/>
    </row>
    <row r="4357" customHeight="1" spans="1:6">
      <c r="A4357" s="248" t="s">
        <v>881</v>
      </c>
      <c r="B4357" s="225"/>
      <c r="C4357" s="225"/>
      <c r="D4357" s="225"/>
      <c r="E4357" s="225"/>
      <c r="F4357" s="225"/>
    </row>
    <row r="4358" customHeight="1" spans="1:6">
      <c r="A4358" s="278" t="s">
        <v>1291</v>
      </c>
      <c r="B4358" s="272"/>
      <c r="C4358" s="272"/>
      <c r="D4358" s="272"/>
      <c r="E4358" s="272"/>
      <c r="F4358" s="272"/>
    </row>
    <row r="4359" customHeight="1" spans="1:6">
      <c r="A4359" s="227" t="s">
        <v>1289</v>
      </c>
      <c r="B4359" s="227"/>
      <c r="C4359" s="229"/>
      <c r="D4359" s="229"/>
      <c r="E4359" s="228" t="s">
        <v>946</v>
      </c>
      <c r="F4359" s="228"/>
    </row>
    <row r="4360" customHeight="1" spans="1:6">
      <c r="A4360" s="232" t="s">
        <v>1292</v>
      </c>
      <c r="B4360" s="234"/>
      <c r="C4360" s="233"/>
      <c r="D4360" s="233"/>
      <c r="E4360" s="233"/>
      <c r="F4360" s="147"/>
    </row>
    <row r="4361" customHeight="1" spans="1:6">
      <c r="A4361" s="7" t="s">
        <v>104</v>
      </c>
      <c r="B4361" s="7" t="s">
        <v>835</v>
      </c>
      <c r="C4361" s="7" t="s">
        <v>159</v>
      </c>
      <c r="D4361" s="7" t="s">
        <v>422</v>
      </c>
      <c r="E4361" s="7" t="s">
        <v>160</v>
      </c>
      <c r="F4361" s="7" t="s">
        <v>18</v>
      </c>
    </row>
    <row r="4362" customHeight="1" spans="1:6">
      <c r="A4362" s="7" t="s">
        <v>1105</v>
      </c>
      <c r="B4362" s="7" t="s">
        <v>837</v>
      </c>
      <c r="C4362" s="7"/>
      <c r="D4362" s="7"/>
      <c r="E4362" s="7"/>
      <c r="F4362" s="34">
        <f>F4363+F4375+F4376</f>
        <v>59753.3419966872</v>
      </c>
    </row>
    <row r="4363" customHeight="1" spans="1:6">
      <c r="A4363" s="7" t="s">
        <v>539</v>
      </c>
      <c r="B4363" s="7" t="s">
        <v>838</v>
      </c>
      <c r="C4363" s="7"/>
      <c r="D4363" s="7"/>
      <c r="E4363" s="7"/>
      <c r="F4363" s="34">
        <f>F4364+F4367+F4371</f>
        <v>57016.5477067626</v>
      </c>
    </row>
    <row r="4364" customHeight="1" spans="1:6">
      <c r="A4364" s="7">
        <v>1</v>
      </c>
      <c r="B4364" s="7" t="s">
        <v>839</v>
      </c>
      <c r="C4364" s="7" t="s">
        <v>840</v>
      </c>
      <c r="D4364" s="34"/>
      <c r="E4364" s="42">
        <f>SUM(E4365:E4366)</f>
        <v>1235.58</v>
      </c>
      <c r="F4364" s="69">
        <f>SUM(F4365:F4366)</f>
        <v>9144.5136</v>
      </c>
    </row>
    <row r="4365" customHeight="1" spans="1:6">
      <c r="A4365" s="7"/>
      <c r="B4365" s="7" t="s">
        <v>841</v>
      </c>
      <c r="C4365" s="7" t="s">
        <v>840</v>
      </c>
      <c r="D4365" s="69">
        <f>D4327</f>
        <v>8.1</v>
      </c>
      <c r="E4365" s="69">
        <v>864.9</v>
      </c>
      <c r="F4365" s="69">
        <f>D4365*E4365</f>
        <v>7005.69</v>
      </c>
    </row>
    <row r="4366" customHeight="1" spans="1:6">
      <c r="A4366" s="7"/>
      <c r="B4366" s="7" t="s">
        <v>842</v>
      </c>
      <c r="C4366" s="7" t="s">
        <v>840</v>
      </c>
      <c r="D4366" s="69">
        <f>D4328</f>
        <v>5.77</v>
      </c>
      <c r="E4366" s="69">
        <v>370.68</v>
      </c>
      <c r="F4366" s="69">
        <f>D4366*E4366</f>
        <v>2138.8236</v>
      </c>
    </row>
    <row r="4367" customHeight="1" spans="1:6">
      <c r="A4367" s="7">
        <v>2</v>
      </c>
      <c r="B4367" s="7" t="s">
        <v>912</v>
      </c>
      <c r="C4367" s="7"/>
      <c r="D4367" s="34"/>
      <c r="E4367" s="34"/>
      <c r="F4367" s="34">
        <f>SUM(F4368:F4370)</f>
        <v>42234.3789742446</v>
      </c>
    </row>
    <row r="4368" customHeight="1" spans="1:6">
      <c r="A4368" s="7"/>
      <c r="B4368" s="273" t="s">
        <v>1284</v>
      </c>
      <c r="C4368" s="273" t="s">
        <v>1187</v>
      </c>
      <c r="D4368" s="34">
        <f>F4155/100</f>
        <v>414.919360469896</v>
      </c>
      <c r="E4368" s="273">
        <v>91.5</v>
      </c>
      <c r="F4368" s="34">
        <f>D4368*E4368</f>
        <v>37965.1214829955</v>
      </c>
    </row>
    <row r="4369" customHeight="1" spans="1:6">
      <c r="A4369" s="7"/>
      <c r="B4369" s="273" t="s">
        <v>1285</v>
      </c>
      <c r="C4369" s="273" t="s">
        <v>1187</v>
      </c>
      <c r="D4369" s="34">
        <f>D4331</f>
        <v>182.8439731</v>
      </c>
      <c r="E4369" s="273">
        <v>22.2</v>
      </c>
      <c r="F4369" s="34">
        <f>D4369*E4369</f>
        <v>4059.13620282</v>
      </c>
    </row>
    <row r="4370" customHeight="1" spans="1:6">
      <c r="A4370" s="7"/>
      <c r="B4370" s="7" t="s">
        <v>952</v>
      </c>
      <c r="C4370" s="7" t="s">
        <v>845</v>
      </c>
      <c r="D4370" s="34">
        <f>F4368+F4369</f>
        <v>42024.2576858155</v>
      </c>
      <c r="E4370" s="246">
        <v>0.5</v>
      </c>
      <c r="F4370" s="34">
        <f>D4370*E4370/100</f>
        <v>210.121288429078</v>
      </c>
    </row>
    <row r="4371" customHeight="1" spans="1:6">
      <c r="A4371" s="7">
        <v>3</v>
      </c>
      <c r="B4371" s="7" t="s">
        <v>859</v>
      </c>
      <c r="C4371" s="7"/>
      <c r="D4371" s="34"/>
      <c r="E4371" s="34"/>
      <c r="F4371" s="34">
        <f>SUM(F4372:F4374)</f>
        <v>5637.65513251796</v>
      </c>
    </row>
    <row r="4372" customHeight="1" spans="1:6">
      <c r="A4372" s="7"/>
      <c r="B4372" s="7" t="s">
        <v>1008</v>
      </c>
      <c r="C4372" s="7" t="s">
        <v>428</v>
      </c>
      <c r="D4372" s="34">
        <f>D4334</f>
        <v>23.9179521340247</v>
      </c>
      <c r="E4372" s="34">
        <v>2.66</v>
      </c>
      <c r="F4372" s="34">
        <f>D4372*E4372</f>
        <v>63.6217526765058</v>
      </c>
    </row>
    <row r="4373" customHeight="1" spans="1:6">
      <c r="A4373" s="7"/>
      <c r="B4373" s="7" t="s">
        <v>967</v>
      </c>
      <c r="C4373" s="7" t="s">
        <v>428</v>
      </c>
      <c r="D4373" s="34">
        <f>D4335</f>
        <v>0.813242919824491</v>
      </c>
      <c r="E4373" s="7">
        <v>119.69</v>
      </c>
      <c r="F4373" s="34">
        <f>D4373*E4373</f>
        <v>97.3370450737934</v>
      </c>
    </row>
    <row r="4374" customHeight="1" spans="1:6">
      <c r="A4374" s="7"/>
      <c r="B4374" s="7" t="s">
        <v>1286</v>
      </c>
      <c r="C4374" s="7" t="s">
        <v>1187</v>
      </c>
      <c r="D4374" s="34">
        <f>D4336</f>
        <v>59.8546047515591</v>
      </c>
      <c r="E4374" s="330">
        <f>E4368</f>
        <v>91.5</v>
      </c>
      <c r="F4374" s="34">
        <f>D4374*E4374</f>
        <v>5476.69633476766</v>
      </c>
    </row>
    <row r="4375" customHeight="1" spans="1:6">
      <c r="A4375" s="7" t="s">
        <v>564</v>
      </c>
      <c r="B4375" s="7" t="s">
        <v>846</v>
      </c>
      <c r="C4375" s="52">
        <f>C4337</f>
        <v>0.048</v>
      </c>
      <c r="D4375" s="34"/>
      <c r="E4375" s="34">
        <f>F4363</f>
        <v>57016.5477067626</v>
      </c>
      <c r="F4375" s="34">
        <f>E4375*C4375</f>
        <v>2736.7942899246</v>
      </c>
    </row>
    <row r="4376" customHeight="1" spans="1:6">
      <c r="A4376" s="7"/>
      <c r="B4376" s="7"/>
      <c r="C4376" s="52"/>
      <c r="D4376" s="34"/>
      <c r="E4376" s="34"/>
      <c r="F4376" s="34"/>
    </row>
    <row r="4377" customHeight="1" spans="1:6">
      <c r="A4377" s="7" t="s">
        <v>439</v>
      </c>
      <c r="B4377" s="7" t="s">
        <v>847</v>
      </c>
      <c r="C4377" s="52">
        <f>C4339</f>
        <v>0.085</v>
      </c>
      <c r="D4377" s="34"/>
      <c r="E4377" s="34">
        <f>F4362</f>
        <v>59753.3419966872</v>
      </c>
      <c r="F4377" s="34">
        <f>E4377*C4377</f>
        <v>5079.03406971841</v>
      </c>
    </row>
    <row r="4378" customHeight="1" spans="1:6">
      <c r="A4378" s="7" t="s">
        <v>83</v>
      </c>
      <c r="B4378" s="7" t="s">
        <v>848</v>
      </c>
      <c r="C4378" s="52">
        <f>C4340</f>
        <v>0.07</v>
      </c>
      <c r="D4378" s="34"/>
      <c r="E4378" s="34">
        <f>F4377+F4362</f>
        <v>64832.3760664056</v>
      </c>
      <c r="F4378" s="34">
        <f>E4378*C4378</f>
        <v>4538.26632464839</v>
      </c>
    </row>
    <row r="4379" customHeight="1" spans="1:6">
      <c r="A4379" s="5" t="s">
        <v>121</v>
      </c>
      <c r="B4379" s="5" t="s">
        <v>861</v>
      </c>
      <c r="C4379" s="5"/>
      <c r="D4379" s="276"/>
      <c r="E4379" s="5"/>
      <c r="F4379" s="277">
        <f>F4380+F4384</f>
        <v>12542.1809488241</v>
      </c>
    </row>
    <row r="4380" customHeight="1" spans="1:6">
      <c r="A4380" s="7">
        <v>1</v>
      </c>
      <c r="B4380" s="7" t="s">
        <v>1011</v>
      </c>
      <c r="C4380" s="7"/>
      <c r="D4380" s="34"/>
      <c r="E4380" s="7"/>
      <c r="F4380" s="69">
        <f>SUM(F4381:F4383)</f>
        <v>10559.9557936241</v>
      </c>
    </row>
    <row r="4381" customHeight="1" spans="1:6">
      <c r="A4381" s="7"/>
      <c r="B4381" s="7" t="s">
        <v>979</v>
      </c>
      <c r="C4381" s="7" t="s">
        <v>200</v>
      </c>
      <c r="D4381" s="34">
        <f>D4343</f>
        <v>141.58936</v>
      </c>
      <c r="E4381" s="38">
        <f t="shared" ref="E4381:E4386" si="257">E4343</f>
        <v>39.98123052</v>
      </c>
      <c r="F4381" s="69">
        <f>E4381*D4381</f>
        <v>5660.91684133927</v>
      </c>
    </row>
    <row r="4382" customHeight="1" spans="1:6">
      <c r="A4382" s="7"/>
      <c r="B4382" s="7" t="s">
        <v>961</v>
      </c>
      <c r="C4382" s="7" t="s">
        <v>169</v>
      </c>
      <c r="D4382" s="34">
        <f>D4344</f>
        <v>34.366056</v>
      </c>
      <c r="E4382" s="38">
        <f t="shared" ref="D4382:E4386" si="258">E4344</f>
        <v>70.3045728</v>
      </c>
      <c r="F4382" s="69">
        <f>E4382*D4382</f>
        <v>2416.09088590088</v>
      </c>
    </row>
    <row r="4383" customHeight="1" spans="1:6">
      <c r="A4383" s="7"/>
      <c r="B4383" s="7" t="s">
        <v>1012</v>
      </c>
      <c r="C4383" s="7" t="s">
        <v>169</v>
      </c>
      <c r="D4383" s="34">
        <f t="shared" si="258"/>
        <v>29.13701</v>
      </c>
      <c r="E4383" s="38">
        <f t="shared" si="258"/>
        <v>85.21629592</v>
      </c>
      <c r="F4383" s="69">
        <f>E4383*D4383</f>
        <v>2482.948066384</v>
      </c>
    </row>
    <row r="4384" customHeight="1" spans="1:6">
      <c r="A4384" s="7">
        <v>2</v>
      </c>
      <c r="B4384" s="7" t="s">
        <v>1013</v>
      </c>
      <c r="C4384" s="7"/>
      <c r="D4384" s="34"/>
      <c r="E4384" s="38"/>
      <c r="F4384" s="69">
        <f>SUM(F4385:F4386)</f>
        <v>1982.2251552</v>
      </c>
    </row>
    <row r="4385" customHeight="1" spans="1:6">
      <c r="A4385" s="7"/>
      <c r="B4385" s="7" t="s">
        <v>862</v>
      </c>
      <c r="C4385" s="7" t="s">
        <v>863</v>
      </c>
      <c r="D4385" s="34">
        <f t="shared" si="258"/>
        <v>4.58</v>
      </c>
      <c r="E4385" s="38">
        <f t="shared" si="257"/>
        <v>419.08944</v>
      </c>
      <c r="F4385" s="69">
        <f>D4385*E4385</f>
        <v>1919.4296352</v>
      </c>
    </row>
    <row r="4386" customHeight="1" spans="1:6">
      <c r="A4386" s="7"/>
      <c r="B4386" s="7" t="s">
        <v>1269</v>
      </c>
      <c r="C4386" s="7" t="s">
        <v>863</v>
      </c>
      <c r="D4386" s="34">
        <f t="shared" si="258"/>
        <v>5.925</v>
      </c>
      <c r="E4386" s="38">
        <f t="shared" si="257"/>
        <v>10.5984</v>
      </c>
      <c r="F4386" s="69">
        <f>D4386*E4386</f>
        <v>62.79552</v>
      </c>
    </row>
    <row r="4387" customHeight="1" spans="1:6">
      <c r="A4387" s="7" t="s">
        <v>135</v>
      </c>
      <c r="B4387" s="7" t="s">
        <v>849</v>
      </c>
      <c r="C4387" s="53">
        <f>C4349</f>
        <v>0.09</v>
      </c>
      <c r="D4387" s="34"/>
      <c r="E4387" s="34">
        <f>F4379+F4378+F4377+F4362</f>
        <v>81912.8233398781</v>
      </c>
      <c r="F4387" s="34">
        <f>E4387*C4387</f>
        <v>7372.15410058903</v>
      </c>
    </row>
    <row r="4388" customHeight="1" spans="1:6">
      <c r="A4388" s="7"/>
      <c r="B4388" s="7" t="s">
        <v>850</v>
      </c>
      <c r="C4388" s="53"/>
      <c r="D4388" s="34"/>
      <c r="E4388" s="34"/>
      <c r="F4388" s="34">
        <f>(F4362+F4377+F4378+F4379+F4387)*取费表!H7</f>
        <v>2678.54932321401</v>
      </c>
    </row>
    <row r="4389" customHeight="1" spans="1:6">
      <c r="A4389" s="7"/>
      <c r="B4389" s="7" t="s">
        <v>156</v>
      </c>
      <c r="C4389" s="7"/>
      <c r="D4389" s="34"/>
      <c r="E4389" s="34"/>
      <c r="F4389" s="34">
        <f>F4387+E4387+F4388</f>
        <v>91963.5267636811</v>
      </c>
    </row>
    <row r="4390" customHeight="1" spans="1:6">
      <c r="A4390" s="331"/>
      <c r="B4390" s="7"/>
      <c r="C4390" s="7"/>
      <c r="D4390" s="34"/>
      <c r="E4390" s="34"/>
      <c r="F4390" s="34"/>
    </row>
    <row r="4391" customHeight="1" spans="1:6">
      <c r="A4391" s="331"/>
      <c r="B4391" s="7"/>
      <c r="C4391" s="7"/>
      <c r="D4391" s="34"/>
      <c r="E4391" s="34"/>
      <c r="F4391" s="34"/>
    </row>
    <row r="4392" customHeight="1" spans="1:6">
      <c r="A4392" s="331"/>
      <c r="B4392" s="7"/>
      <c r="C4392" s="7"/>
      <c r="D4392" s="34"/>
      <c r="E4392" s="34"/>
      <c r="F4392" s="34"/>
    </row>
    <row r="4393" customHeight="1" spans="1:6">
      <c r="A4393" s="331"/>
      <c r="B4393" s="332"/>
      <c r="C4393" s="331"/>
      <c r="D4393" s="331"/>
      <c r="E4393" s="331"/>
      <c r="F4393" s="331"/>
    </row>
    <row r="4394" customHeight="1" spans="1:6">
      <c r="A4394" s="331"/>
      <c r="B4394" s="332"/>
      <c r="C4394" s="331"/>
      <c r="D4394" s="331"/>
      <c r="E4394" s="331"/>
      <c r="F4394" s="331"/>
    </row>
    <row r="4395" customHeight="1" spans="1:6">
      <c r="A4395" s="248" t="s">
        <v>881</v>
      </c>
      <c r="B4395" s="225"/>
      <c r="C4395" s="225"/>
      <c r="D4395" s="225"/>
      <c r="E4395" s="225"/>
      <c r="F4395" s="225"/>
    </row>
    <row r="4396" customHeight="1" spans="1:6">
      <c r="A4396" s="278" t="s">
        <v>1293</v>
      </c>
      <c r="B4396" s="272"/>
      <c r="C4396" s="272"/>
      <c r="D4396" s="272"/>
      <c r="E4396" s="272"/>
      <c r="F4396" s="272"/>
    </row>
    <row r="4397" customHeight="1" spans="1:6">
      <c r="A4397" s="227" t="s">
        <v>1063</v>
      </c>
      <c r="B4397" s="227"/>
      <c r="C4397" s="272"/>
      <c r="D4397" s="272"/>
      <c r="E4397" s="228" t="s">
        <v>832</v>
      </c>
      <c r="F4397" s="228"/>
    </row>
    <row r="4398" customHeight="1" spans="1:6">
      <c r="A4398" s="232" t="s">
        <v>959</v>
      </c>
      <c r="B4398" s="234"/>
      <c r="C4398" s="233"/>
      <c r="D4398" s="233"/>
      <c r="E4398" s="233"/>
      <c r="F4398" s="147"/>
    </row>
    <row r="4399" customHeight="1" spans="1:6">
      <c r="A4399" s="7" t="s">
        <v>104</v>
      </c>
      <c r="B4399" s="7" t="s">
        <v>835</v>
      </c>
      <c r="C4399" s="7" t="s">
        <v>159</v>
      </c>
      <c r="D4399" s="7" t="s">
        <v>422</v>
      </c>
      <c r="E4399" s="7" t="s">
        <v>160</v>
      </c>
      <c r="F4399" s="7" t="s">
        <v>18</v>
      </c>
    </row>
    <row r="4400" customHeight="1" spans="1:6">
      <c r="A4400" s="7" t="s">
        <v>836</v>
      </c>
      <c r="B4400" s="7" t="s">
        <v>837</v>
      </c>
      <c r="C4400" s="7"/>
      <c r="D4400" s="7"/>
      <c r="E4400" s="7"/>
      <c r="F4400" s="34">
        <f>F4401+F4417+F4418</f>
        <v>26900.7959793491</v>
      </c>
    </row>
    <row r="4401" customHeight="1" spans="1:6">
      <c r="A4401" s="7" t="s">
        <v>539</v>
      </c>
      <c r="B4401" s="7" t="s">
        <v>838</v>
      </c>
      <c r="C4401" s="7"/>
      <c r="D4401" s="7"/>
      <c r="E4401" s="7"/>
      <c r="F4401" s="34">
        <f>F4402+F4405+F4409+F4414</f>
        <v>25668.6984535774</v>
      </c>
    </row>
    <row r="4402" customHeight="1" spans="1:6">
      <c r="A4402" s="7">
        <v>1</v>
      </c>
      <c r="B4402" s="7" t="s">
        <v>839</v>
      </c>
      <c r="C4402" s="7" t="s">
        <v>840</v>
      </c>
      <c r="D4402" s="34"/>
      <c r="E4402" s="42">
        <f>SUM(E4403:E4404)</f>
        <v>590.1</v>
      </c>
      <c r="F4402" s="69">
        <f>SUM(F4403:F4404)</f>
        <v>4075.684</v>
      </c>
    </row>
    <row r="4403" customHeight="1" spans="1:6">
      <c r="A4403" s="7"/>
      <c r="B4403" s="7" t="s">
        <v>841</v>
      </c>
      <c r="C4403" s="7" t="s">
        <v>840</v>
      </c>
      <c r="D4403" s="69">
        <f>D4327</f>
        <v>8.1</v>
      </c>
      <c r="E4403" s="42">
        <v>287.9</v>
      </c>
      <c r="F4403" s="69">
        <f>D4403*E4403</f>
        <v>2331.99</v>
      </c>
    </row>
    <row r="4404" customHeight="1" spans="1:6">
      <c r="A4404" s="7"/>
      <c r="B4404" s="7" t="s">
        <v>842</v>
      </c>
      <c r="C4404" s="7" t="s">
        <v>840</v>
      </c>
      <c r="D4404" s="69">
        <f>D4328</f>
        <v>5.77</v>
      </c>
      <c r="E4404" s="42">
        <v>302.2</v>
      </c>
      <c r="F4404" s="69">
        <f>D4404*E4404</f>
        <v>1743.694</v>
      </c>
    </row>
    <row r="4405" customHeight="1" spans="1:6">
      <c r="A4405" s="7">
        <v>2</v>
      </c>
      <c r="B4405" s="7" t="s">
        <v>912</v>
      </c>
      <c r="C4405" s="7"/>
      <c r="D4405" s="34"/>
      <c r="E4405" s="34"/>
      <c r="F4405" s="34">
        <f>SUM(F4406:F4408)</f>
        <v>18999.2528754465</v>
      </c>
    </row>
    <row r="4406" customHeight="1" spans="1:6">
      <c r="A4406" s="7"/>
      <c r="B4406" s="7" t="s">
        <v>1003</v>
      </c>
      <c r="C4406" s="7" t="s">
        <v>341</v>
      </c>
      <c r="D4406" s="34">
        <f>配合比!M9</f>
        <v>182.8439731</v>
      </c>
      <c r="E4406" s="34">
        <v>103</v>
      </c>
      <c r="F4406" s="34">
        <f>D4406*E4406</f>
        <v>18832.9292293</v>
      </c>
    </row>
    <row r="4407" customHeight="1" spans="1:6">
      <c r="A4407" s="7"/>
      <c r="B4407" s="7" t="s">
        <v>913</v>
      </c>
      <c r="C4407" s="7" t="s">
        <v>341</v>
      </c>
      <c r="D4407" s="34">
        <f>材料预算价!K13</f>
        <v>3.59</v>
      </c>
      <c r="E4407" s="34">
        <v>20</v>
      </c>
      <c r="F4407" s="34">
        <f>D4407*E4407</f>
        <v>71.8</v>
      </c>
    </row>
    <row r="4408" customHeight="1" spans="1:6">
      <c r="A4408" s="7"/>
      <c r="B4408" s="7" t="s">
        <v>1004</v>
      </c>
      <c r="C4408" s="9" t="s">
        <v>845</v>
      </c>
      <c r="D4408" s="34">
        <f>SUM(F4406:F4407)</f>
        <v>18904.7292293</v>
      </c>
      <c r="E4408" s="34">
        <v>0.5</v>
      </c>
      <c r="F4408" s="34">
        <f>D4408*E4408/100</f>
        <v>94.5236461465</v>
      </c>
    </row>
    <row r="4409" customHeight="1" spans="1:6">
      <c r="A4409" s="7">
        <v>3</v>
      </c>
      <c r="B4409" s="7" t="s">
        <v>859</v>
      </c>
      <c r="C4409" s="7"/>
      <c r="D4409" s="34"/>
      <c r="E4409" s="34"/>
      <c r="F4409" s="34">
        <f>SUM(F4410:F4413)</f>
        <v>602.10538674272</v>
      </c>
    </row>
    <row r="4410" customHeight="1" spans="1:6">
      <c r="A4410" s="7"/>
      <c r="B4410" s="7" t="s">
        <v>1008</v>
      </c>
      <c r="C4410" s="7" t="s">
        <v>428</v>
      </c>
      <c r="D4410" s="34">
        <f>台时!D42</f>
        <v>23.9179521340247</v>
      </c>
      <c r="E4410" s="251">
        <v>18.54</v>
      </c>
      <c r="F4410" s="34">
        <f>D4410*E4410</f>
        <v>443.438832564818</v>
      </c>
    </row>
    <row r="4411" customHeight="1" spans="1:6">
      <c r="A4411" s="7"/>
      <c r="B4411" s="7" t="s">
        <v>1294</v>
      </c>
      <c r="C4411" s="7" t="s">
        <v>428</v>
      </c>
      <c r="D4411" s="34">
        <f>台时!F42</f>
        <v>1.82152692461109</v>
      </c>
      <c r="E4411" s="251">
        <v>20</v>
      </c>
      <c r="F4411" s="34">
        <f>D4411*E4411</f>
        <v>36.4305384922218</v>
      </c>
    </row>
    <row r="4412" customHeight="1" spans="1:6">
      <c r="A4412" s="7"/>
      <c r="B4412" s="7" t="s">
        <v>967</v>
      </c>
      <c r="C4412" s="7" t="s">
        <v>428</v>
      </c>
      <c r="D4412" s="34">
        <f>台时!C42</f>
        <v>0.813242919824491</v>
      </c>
      <c r="E4412" s="251">
        <v>83</v>
      </c>
      <c r="F4412" s="34">
        <f>D4412*E4412</f>
        <v>67.4991623454328</v>
      </c>
    </row>
    <row r="4413" customHeight="1" spans="1:6">
      <c r="A4413" s="7"/>
      <c r="B4413" s="7" t="s">
        <v>918</v>
      </c>
      <c r="C4413" s="9" t="s">
        <v>845</v>
      </c>
      <c r="D4413" s="34">
        <f>SUM(F4410:F4412)</f>
        <v>547.368533402473</v>
      </c>
      <c r="E4413" s="34">
        <v>10</v>
      </c>
      <c r="F4413" s="34">
        <f>D4413*E4413/100</f>
        <v>54.7368533402473</v>
      </c>
    </row>
    <row r="4414" customHeight="1" spans="1:6">
      <c r="A4414" s="7">
        <v>4</v>
      </c>
      <c r="B4414" s="7" t="s">
        <v>1010</v>
      </c>
      <c r="C4414" s="9"/>
      <c r="D4414" s="34"/>
      <c r="E4414" s="34"/>
      <c r="F4414" s="34">
        <f>SUM(F4415:F4416)</f>
        <v>1991.65619138815</v>
      </c>
    </row>
    <row r="4415" customHeight="1" spans="1:6">
      <c r="A4415" s="7"/>
      <c r="B4415" s="123" t="s">
        <v>681</v>
      </c>
      <c r="C4415" s="123" t="s">
        <v>341</v>
      </c>
      <c r="D4415" s="274">
        <f>D2259</f>
        <v>5.03319379720782</v>
      </c>
      <c r="E4415" s="274">
        <v>103</v>
      </c>
      <c r="F4415" s="34">
        <f>D4415*E4415</f>
        <v>518.418961112405</v>
      </c>
    </row>
    <row r="4416" customHeight="1" spans="1:6">
      <c r="A4416" s="7"/>
      <c r="B4416" s="123" t="s">
        <v>682</v>
      </c>
      <c r="C4416" s="123" t="s">
        <v>341</v>
      </c>
      <c r="D4416" s="274">
        <f>D2260</f>
        <v>14.303274080347</v>
      </c>
      <c r="E4416" s="274">
        <v>103</v>
      </c>
      <c r="F4416" s="34">
        <f>D4416*E4416</f>
        <v>1473.23723027574</v>
      </c>
    </row>
    <row r="4417" customHeight="1" spans="1:6">
      <c r="A4417" s="7" t="s">
        <v>564</v>
      </c>
      <c r="B4417" s="7" t="s">
        <v>846</v>
      </c>
      <c r="C4417" s="52">
        <f>取费表!C7</f>
        <v>0.048</v>
      </c>
      <c r="D4417" s="34"/>
      <c r="E4417" s="34">
        <f>F4401</f>
        <v>25668.6984535774</v>
      </c>
      <c r="F4417" s="34">
        <f>E4417*C4417</f>
        <v>1232.09752577171</v>
      </c>
    </row>
    <row r="4418" customHeight="1" spans="1:6">
      <c r="A4418" s="7"/>
      <c r="B4418" s="7"/>
      <c r="C4418" s="52"/>
      <c r="D4418" s="34"/>
      <c r="E4418" s="34"/>
      <c r="F4418" s="34"/>
    </row>
    <row r="4419" customHeight="1" spans="1:6">
      <c r="A4419" s="7" t="s">
        <v>439</v>
      </c>
      <c r="B4419" s="7" t="s">
        <v>847</v>
      </c>
      <c r="C4419" s="52">
        <f>取费表!E7</f>
        <v>0.07</v>
      </c>
      <c r="D4419" s="34"/>
      <c r="E4419" s="34">
        <f>F4400</f>
        <v>26900.7959793491</v>
      </c>
      <c r="F4419" s="34">
        <f>E4419*C4419</f>
        <v>1883.05571855444</v>
      </c>
    </row>
    <row r="4420" customHeight="1" spans="1:6">
      <c r="A4420" s="7" t="s">
        <v>83</v>
      </c>
      <c r="B4420" s="7" t="s">
        <v>848</v>
      </c>
      <c r="C4420" s="52">
        <f>取费表!F7</f>
        <v>0.07</v>
      </c>
      <c r="D4420" s="34"/>
      <c r="E4420" s="34">
        <f>E4419+F4419</f>
        <v>28783.8516979035</v>
      </c>
      <c r="F4420" s="34">
        <f>E4420*C4420</f>
        <v>2014.86961885325</v>
      </c>
    </row>
    <row r="4421" customHeight="1" spans="1:6">
      <c r="A4421" s="5" t="s">
        <v>121</v>
      </c>
      <c r="B4421" s="5" t="s">
        <v>861</v>
      </c>
      <c r="C4421" s="5"/>
      <c r="D4421" s="276"/>
      <c r="E4421" s="5"/>
      <c r="F4421" s="277">
        <f>F4422</f>
        <v>9396.82833860372</v>
      </c>
    </row>
    <row r="4422" customHeight="1" spans="1:6">
      <c r="A4422" s="7">
        <v>1</v>
      </c>
      <c r="B4422" s="7" t="s">
        <v>1011</v>
      </c>
      <c r="C4422" s="7"/>
      <c r="D4422" s="34"/>
      <c r="E4422" s="7"/>
      <c r="F4422" s="69">
        <f>SUM(F4423:F4425)</f>
        <v>9396.82833860372</v>
      </c>
    </row>
    <row r="4423" customHeight="1" spans="1:6">
      <c r="A4423" s="7"/>
      <c r="B4423" s="7" t="s">
        <v>979</v>
      </c>
      <c r="C4423" s="7" t="s">
        <v>200</v>
      </c>
      <c r="D4423" s="34">
        <f>D4381</f>
        <v>141.58936</v>
      </c>
      <c r="E4423" s="38">
        <f>E4406*配合比!E9</f>
        <v>35.641914</v>
      </c>
      <c r="F4423" s="69">
        <f>E4423*D4423</f>
        <v>5046.51579243504</v>
      </c>
    </row>
    <row r="4424" customHeight="1" spans="1:6">
      <c r="A4424" s="7"/>
      <c r="B4424" s="7" t="s">
        <v>961</v>
      </c>
      <c r="C4424" s="7" t="s">
        <v>169</v>
      </c>
      <c r="D4424" s="34">
        <f>D4382</f>
        <v>34.366056</v>
      </c>
      <c r="E4424" s="38">
        <f>E4406*配合比!G9</f>
        <v>62.17904</v>
      </c>
      <c r="F4424" s="69">
        <f>E4424*D4424</f>
        <v>2136.84837066624</v>
      </c>
    </row>
    <row r="4425" customHeight="1" spans="1:6">
      <c r="A4425" s="7"/>
      <c r="B4425" s="7" t="s">
        <v>1012</v>
      </c>
      <c r="C4425" s="7" t="s">
        <v>169</v>
      </c>
      <c r="D4425" s="34">
        <f>材料预算价!K8-材料预算价!L8</f>
        <v>29.13701</v>
      </c>
      <c r="E4425" s="38">
        <f>E4406*配合比!I9</f>
        <v>75.967444</v>
      </c>
      <c r="F4425" s="69">
        <f>E4425*D4425</f>
        <v>2213.46417550244</v>
      </c>
    </row>
    <row r="4426" customHeight="1" spans="1:6">
      <c r="A4426" s="7"/>
      <c r="B4426" s="7"/>
      <c r="C4426" s="7"/>
      <c r="D4426" s="34"/>
      <c r="E4426" s="38"/>
      <c r="F4426" s="69"/>
    </row>
    <row r="4427" customHeight="1" spans="1:6">
      <c r="A4427" s="7" t="s">
        <v>135</v>
      </c>
      <c r="B4427" s="7" t="s">
        <v>849</v>
      </c>
      <c r="C4427" s="53">
        <f>取费表!G7</f>
        <v>0.09</v>
      </c>
      <c r="D4427" s="34"/>
      <c r="E4427" s="34">
        <f>E4420+F4420+F4421</f>
        <v>40195.5496553605</v>
      </c>
      <c r="F4427" s="34">
        <f>E4427*C4427</f>
        <v>3617.59946898244</v>
      </c>
    </row>
    <row r="4428" customHeight="1" spans="1:6">
      <c r="A4428" s="7"/>
      <c r="B4428" s="7" t="s">
        <v>850</v>
      </c>
      <c r="C4428" s="53"/>
      <c r="D4428" s="34"/>
      <c r="E4428" s="34"/>
      <c r="F4428" s="34">
        <f>(E4427+F4427)*取费表!H4</f>
        <v>1314.39447373029</v>
      </c>
    </row>
    <row r="4429" customHeight="1" spans="1:6">
      <c r="A4429" s="7"/>
      <c r="B4429" s="7" t="s">
        <v>156</v>
      </c>
      <c r="C4429" s="7"/>
      <c r="D4429" s="34"/>
      <c r="E4429" s="34"/>
      <c r="F4429" s="34">
        <f>E4427+F4427+F4428</f>
        <v>45127.5435980732</v>
      </c>
    </row>
    <row r="4430" customHeight="1" spans="1:6">
      <c r="A4430" s="331"/>
      <c r="B4430" s="332"/>
      <c r="C4430" s="331"/>
      <c r="D4430" s="331"/>
      <c r="E4430" s="331"/>
      <c r="F4430" s="331"/>
    </row>
    <row r="4431" customHeight="1" spans="1:6">
      <c r="A4431" s="331"/>
      <c r="B4431" s="332"/>
      <c r="C4431" s="331"/>
      <c r="D4431" s="331"/>
      <c r="E4431" s="331"/>
      <c r="F4431" s="331"/>
    </row>
    <row r="4432" customHeight="1" spans="1:6">
      <c r="A4432" s="331"/>
      <c r="B4432" s="332"/>
      <c r="C4432" s="331"/>
      <c r="D4432" s="331"/>
      <c r="E4432" s="331"/>
      <c r="F4432" s="331"/>
    </row>
    <row r="4433" customHeight="1" spans="1:6">
      <c r="A4433" s="248" t="s">
        <v>881</v>
      </c>
      <c r="B4433" s="225"/>
      <c r="C4433" s="225"/>
      <c r="D4433" s="225"/>
      <c r="E4433" s="225"/>
      <c r="F4433" s="225"/>
    </row>
    <row r="4434" customHeight="1" spans="1:6">
      <c r="A4434" s="278" t="s">
        <v>1295</v>
      </c>
      <c r="B4434" s="272"/>
      <c r="C4434" s="272"/>
      <c r="D4434" s="272"/>
      <c r="E4434" s="272"/>
      <c r="F4434" s="272"/>
    </row>
    <row r="4435" customHeight="1" spans="1:6">
      <c r="A4435" s="227" t="s">
        <v>1063</v>
      </c>
      <c r="B4435" s="227"/>
      <c r="C4435" s="272"/>
      <c r="D4435" s="272"/>
      <c r="E4435" s="228" t="s">
        <v>832</v>
      </c>
      <c r="F4435" s="228"/>
    </row>
    <row r="4436" customHeight="1" spans="1:6">
      <c r="A4436" s="232" t="s">
        <v>959</v>
      </c>
      <c r="B4436" s="234"/>
      <c r="C4436" s="233"/>
      <c r="D4436" s="233"/>
      <c r="E4436" s="233"/>
      <c r="F4436" s="147"/>
    </row>
    <row r="4437" customHeight="1" spans="1:6">
      <c r="A4437" s="7" t="s">
        <v>104</v>
      </c>
      <c r="B4437" s="7" t="s">
        <v>835</v>
      </c>
      <c r="C4437" s="7" t="s">
        <v>159</v>
      </c>
      <c r="D4437" s="7" t="s">
        <v>422</v>
      </c>
      <c r="E4437" s="7" t="s">
        <v>160</v>
      </c>
      <c r="F4437" s="7" t="s">
        <v>18</v>
      </c>
    </row>
    <row r="4438" customHeight="1" spans="1:6">
      <c r="A4438" s="7" t="s">
        <v>836</v>
      </c>
      <c r="B4438" s="7" t="s">
        <v>837</v>
      </c>
      <c r="C4438" s="7"/>
      <c r="D4438" s="7"/>
      <c r="E4438" s="7"/>
      <c r="F4438" s="34">
        <f>F4439+F4455+F4456</f>
        <v>27464.6782352283</v>
      </c>
    </row>
    <row r="4439" customHeight="1" spans="1:6">
      <c r="A4439" s="7" t="s">
        <v>539</v>
      </c>
      <c r="B4439" s="7" t="s">
        <v>838</v>
      </c>
      <c r="C4439" s="7"/>
      <c r="D4439" s="7"/>
      <c r="E4439" s="7"/>
      <c r="F4439" s="34">
        <f>F4440+F4443+F4447+F4452</f>
        <v>26206.7540412484</v>
      </c>
    </row>
    <row r="4440" customHeight="1" spans="1:6">
      <c r="A4440" s="7">
        <v>1</v>
      </c>
      <c r="B4440" s="7" t="s">
        <v>839</v>
      </c>
      <c r="C4440" s="7" t="s">
        <v>840</v>
      </c>
      <c r="D4440" s="34"/>
      <c r="E4440" s="42">
        <f>SUM(E4441:E4442)</f>
        <v>590.1</v>
      </c>
      <c r="F4440" s="69">
        <f>SUM(F4441:F4442)</f>
        <v>4075.684</v>
      </c>
    </row>
    <row r="4441" customHeight="1" spans="1:6">
      <c r="A4441" s="7"/>
      <c r="B4441" s="7" t="s">
        <v>841</v>
      </c>
      <c r="C4441" s="7" t="s">
        <v>840</v>
      </c>
      <c r="D4441" s="69">
        <f>D4365</f>
        <v>8.1</v>
      </c>
      <c r="E4441" s="42">
        <v>287.9</v>
      </c>
      <c r="F4441" s="69">
        <f>D4441*E4441</f>
        <v>2331.99</v>
      </c>
    </row>
    <row r="4442" customHeight="1" spans="1:6">
      <c r="A4442" s="7"/>
      <c r="B4442" s="7" t="s">
        <v>842</v>
      </c>
      <c r="C4442" s="7" t="s">
        <v>840</v>
      </c>
      <c r="D4442" s="69">
        <f>D4366</f>
        <v>5.77</v>
      </c>
      <c r="E4442" s="42">
        <v>302.2</v>
      </c>
      <c r="F4442" s="69">
        <f>D4442*E4442</f>
        <v>1743.694</v>
      </c>
    </row>
    <row r="4443" customHeight="1" spans="1:6">
      <c r="A4443" s="7">
        <v>2</v>
      </c>
      <c r="B4443" s="7" t="s">
        <v>912</v>
      </c>
      <c r="C4443" s="7"/>
      <c r="D4443" s="34"/>
      <c r="E4443" s="34"/>
      <c r="F4443" s="34">
        <f>SUM(F4444:F4446)</f>
        <v>19537.3084631175</v>
      </c>
    </row>
    <row r="4444" customHeight="1" spans="1:6">
      <c r="A4444" s="7"/>
      <c r="B4444" s="7" t="s">
        <v>1025</v>
      </c>
      <c r="C4444" s="7" t="s">
        <v>341</v>
      </c>
      <c r="D4444" s="34">
        <f>配合比!M11</f>
        <v>188.0418245</v>
      </c>
      <c r="E4444" s="34">
        <v>103</v>
      </c>
      <c r="F4444" s="34">
        <f>D4444*E4444</f>
        <v>19368.3079235</v>
      </c>
    </row>
    <row r="4445" customHeight="1" spans="1:6">
      <c r="A4445" s="7"/>
      <c r="B4445" s="7" t="s">
        <v>913</v>
      </c>
      <c r="C4445" s="7" t="s">
        <v>341</v>
      </c>
      <c r="D4445" s="34">
        <f>D4407</f>
        <v>3.59</v>
      </c>
      <c r="E4445" s="34">
        <v>20</v>
      </c>
      <c r="F4445" s="34">
        <f>D4445*E4445</f>
        <v>71.8</v>
      </c>
    </row>
    <row r="4446" customHeight="1" spans="1:6">
      <c r="A4446" s="7"/>
      <c r="B4446" s="7" t="s">
        <v>1004</v>
      </c>
      <c r="C4446" s="9" t="s">
        <v>845</v>
      </c>
      <c r="D4446" s="34">
        <f>SUM(F4444:F4445)</f>
        <v>19440.1079235</v>
      </c>
      <c r="E4446" s="34">
        <v>0.5</v>
      </c>
      <c r="F4446" s="34">
        <f>D4446*E4446/100</f>
        <v>97.2005396175</v>
      </c>
    </row>
    <row r="4447" customHeight="1" spans="1:6">
      <c r="A4447" s="7">
        <v>3</v>
      </c>
      <c r="B4447" s="7" t="s">
        <v>859</v>
      </c>
      <c r="C4447" s="7"/>
      <c r="D4447" s="34"/>
      <c r="E4447" s="34"/>
      <c r="F4447" s="34">
        <f>SUM(F4448:F4451)</f>
        <v>602.10538674272</v>
      </c>
    </row>
    <row r="4448" customHeight="1" spans="1:6">
      <c r="A4448" s="7"/>
      <c r="B4448" s="7" t="s">
        <v>1008</v>
      </c>
      <c r="C4448" s="7" t="s">
        <v>428</v>
      </c>
      <c r="D4448" s="34">
        <f>D4410</f>
        <v>23.9179521340247</v>
      </c>
      <c r="E4448" s="251">
        <v>18.54</v>
      </c>
      <c r="F4448" s="34">
        <f>D4448*E4448</f>
        <v>443.438832564818</v>
      </c>
    </row>
    <row r="4449" customHeight="1" spans="1:6">
      <c r="A4449" s="7"/>
      <c r="B4449" s="7" t="s">
        <v>1294</v>
      </c>
      <c r="C4449" s="7" t="s">
        <v>428</v>
      </c>
      <c r="D4449" s="34">
        <f>D4411</f>
        <v>1.82152692461109</v>
      </c>
      <c r="E4449" s="251">
        <v>20</v>
      </c>
      <c r="F4449" s="34">
        <f>D4449*E4449</f>
        <v>36.4305384922218</v>
      </c>
    </row>
    <row r="4450" customHeight="1" spans="1:6">
      <c r="A4450" s="7"/>
      <c r="B4450" s="7" t="s">
        <v>967</v>
      </c>
      <c r="C4450" s="7" t="s">
        <v>428</v>
      </c>
      <c r="D4450" s="34">
        <f>D4412</f>
        <v>0.813242919824491</v>
      </c>
      <c r="E4450" s="251">
        <v>83</v>
      </c>
      <c r="F4450" s="34">
        <f>D4450*E4450</f>
        <v>67.4991623454328</v>
      </c>
    </row>
    <row r="4451" customHeight="1" spans="1:6">
      <c r="A4451" s="7"/>
      <c r="B4451" s="7" t="s">
        <v>918</v>
      </c>
      <c r="C4451" s="9" t="s">
        <v>845</v>
      </c>
      <c r="D4451" s="34">
        <f>SUM(F4448:F4450)</f>
        <v>547.368533402473</v>
      </c>
      <c r="E4451" s="34">
        <v>10</v>
      </c>
      <c r="F4451" s="34">
        <f>D4451*E4451/100</f>
        <v>54.7368533402473</v>
      </c>
    </row>
    <row r="4452" customHeight="1" spans="1:6">
      <c r="A4452" s="7">
        <v>4</v>
      </c>
      <c r="B4452" s="7" t="s">
        <v>1010</v>
      </c>
      <c r="C4452" s="9"/>
      <c r="D4452" s="34"/>
      <c r="E4452" s="34"/>
      <c r="F4452" s="34">
        <f>SUM(F4453:F4454)</f>
        <v>1991.65619138815</v>
      </c>
    </row>
    <row r="4453" customHeight="1" spans="1:6">
      <c r="A4453" s="7"/>
      <c r="B4453" s="123" t="s">
        <v>681</v>
      </c>
      <c r="C4453" s="123" t="s">
        <v>341</v>
      </c>
      <c r="D4453" s="274">
        <f>D4415</f>
        <v>5.03319379720782</v>
      </c>
      <c r="E4453" s="274">
        <v>103</v>
      </c>
      <c r="F4453" s="34">
        <f>D4453*E4453</f>
        <v>518.418961112405</v>
      </c>
    </row>
    <row r="4454" customHeight="1" spans="1:6">
      <c r="A4454" s="7"/>
      <c r="B4454" s="123" t="s">
        <v>682</v>
      </c>
      <c r="C4454" s="123" t="s">
        <v>341</v>
      </c>
      <c r="D4454" s="274">
        <f>D4416</f>
        <v>14.303274080347</v>
      </c>
      <c r="E4454" s="274">
        <v>103</v>
      </c>
      <c r="F4454" s="34">
        <f>D4454*E4454</f>
        <v>1473.23723027574</v>
      </c>
    </row>
    <row r="4455" customHeight="1" spans="1:6">
      <c r="A4455" s="7" t="s">
        <v>564</v>
      </c>
      <c r="B4455" s="7" t="s">
        <v>846</v>
      </c>
      <c r="C4455" s="52">
        <f>C4417</f>
        <v>0.048</v>
      </c>
      <c r="D4455" s="34"/>
      <c r="E4455" s="34">
        <f>F4439</f>
        <v>26206.7540412484</v>
      </c>
      <c r="F4455" s="34">
        <f>E4455*C4455</f>
        <v>1257.92419397992</v>
      </c>
    </row>
    <row r="4456" customHeight="1" spans="1:6">
      <c r="A4456" s="7"/>
      <c r="B4456" s="7"/>
      <c r="C4456" s="52"/>
      <c r="D4456" s="34"/>
      <c r="E4456" s="34"/>
      <c r="F4456" s="34"/>
    </row>
    <row r="4457" customHeight="1" spans="1:6">
      <c r="A4457" s="7" t="s">
        <v>439</v>
      </c>
      <c r="B4457" s="7" t="s">
        <v>847</v>
      </c>
      <c r="C4457" s="52">
        <f>C4419</f>
        <v>0.07</v>
      </c>
      <c r="D4457" s="34"/>
      <c r="E4457" s="34">
        <f>F4438</f>
        <v>27464.6782352283</v>
      </c>
      <c r="F4457" s="34">
        <f>E4457*C4457</f>
        <v>1922.52747646598</v>
      </c>
    </row>
    <row r="4458" customHeight="1" spans="1:6">
      <c r="A4458" s="7" t="s">
        <v>83</v>
      </c>
      <c r="B4458" s="7" t="s">
        <v>848</v>
      </c>
      <c r="C4458" s="52">
        <f>C4420</f>
        <v>0.07</v>
      </c>
      <c r="D4458" s="34"/>
      <c r="E4458" s="34">
        <f>E4457+F4457</f>
        <v>29387.2057116943</v>
      </c>
      <c r="F4458" s="34">
        <f>E4458*C4458</f>
        <v>2057.1043998186</v>
      </c>
    </row>
    <row r="4459" customHeight="1" spans="1:6">
      <c r="A4459" s="5" t="s">
        <v>121</v>
      </c>
      <c r="B4459" s="5" t="s">
        <v>861</v>
      </c>
      <c r="C4459" s="5"/>
      <c r="D4459" s="276"/>
      <c r="E4459" s="5"/>
      <c r="F4459" s="277">
        <f>F4460</f>
        <v>14286.7719466043</v>
      </c>
    </row>
    <row r="4460" customHeight="1" spans="1:6">
      <c r="A4460" s="7">
        <v>1</v>
      </c>
      <c r="B4460" s="7" t="s">
        <v>1011</v>
      </c>
      <c r="C4460" s="7"/>
      <c r="D4460" s="34"/>
      <c r="E4460" s="7"/>
      <c r="F4460" s="69">
        <f>SUM(F4461:F4463)</f>
        <v>14286.7719466043</v>
      </c>
    </row>
    <row r="4461" customHeight="1" spans="1:6">
      <c r="A4461" s="7"/>
      <c r="B4461" s="7" t="s">
        <v>979</v>
      </c>
      <c r="C4461" s="7" t="s">
        <v>200</v>
      </c>
      <c r="D4461" s="34">
        <f>材料预算价!K6-材料预算价!L6</f>
        <v>265.23946</v>
      </c>
      <c r="E4461" s="38">
        <f>E4444*配合比!E11</f>
        <v>37.58161</v>
      </c>
      <c r="F4461" s="69">
        <f>E4461*D4461</f>
        <v>9968.1259423306</v>
      </c>
    </row>
    <row r="4462" customHeight="1" spans="1:6">
      <c r="A4462" s="7"/>
      <c r="B4462" s="7" t="s">
        <v>961</v>
      </c>
      <c r="C4462" s="7" t="s">
        <v>169</v>
      </c>
      <c r="D4462" s="34">
        <f>D4424</f>
        <v>34.366056</v>
      </c>
      <c r="E4462" s="38">
        <f>E4444*配合比!G11</f>
        <v>52.18598</v>
      </c>
      <c r="F4462" s="69">
        <f>E4462*D4462</f>
        <v>1793.42631109488</v>
      </c>
    </row>
    <row r="4463" customHeight="1" spans="1:6">
      <c r="A4463" s="7"/>
      <c r="B4463" s="7" t="s">
        <v>1012</v>
      </c>
      <c r="C4463" s="7" t="s">
        <v>169</v>
      </c>
      <c r="D4463" s="34">
        <f>D4425</f>
        <v>29.13701</v>
      </c>
      <c r="E4463" s="38">
        <f>E4444*配合比!I11</f>
        <v>86.667084</v>
      </c>
      <c r="F4463" s="69">
        <f>E4463*D4463</f>
        <v>2525.21969317884</v>
      </c>
    </row>
    <row r="4464" customHeight="1" spans="1:6">
      <c r="A4464" s="7"/>
      <c r="B4464" s="7"/>
      <c r="C4464" s="7"/>
      <c r="D4464" s="34"/>
      <c r="E4464" s="38"/>
      <c r="F4464" s="69"/>
    </row>
    <row r="4465" customHeight="1" spans="1:6">
      <c r="A4465" s="7" t="s">
        <v>135</v>
      </c>
      <c r="B4465" s="7" t="s">
        <v>849</v>
      </c>
      <c r="C4465" s="53">
        <f>C4427</f>
        <v>0.09</v>
      </c>
      <c r="D4465" s="34"/>
      <c r="E4465" s="34">
        <f>E4458+F4458+F4459</f>
        <v>45731.0820581172</v>
      </c>
      <c r="F4465" s="34">
        <f>E4465*C4465</f>
        <v>4115.79738523055</v>
      </c>
    </row>
    <row r="4466" customHeight="1" spans="1:6">
      <c r="A4466" s="7"/>
      <c r="B4466" s="7" t="s">
        <v>850</v>
      </c>
      <c r="C4466" s="53"/>
      <c r="D4466" s="34"/>
      <c r="E4466" s="34"/>
      <c r="F4466" s="34">
        <f>(E4465+F4465)*取费表!H7</f>
        <v>1495.40638330043</v>
      </c>
    </row>
    <row r="4467" customHeight="1" spans="1:6">
      <c r="A4467" s="7"/>
      <c r="B4467" s="7" t="s">
        <v>156</v>
      </c>
      <c r="C4467" s="7"/>
      <c r="D4467" s="34"/>
      <c r="E4467" s="34"/>
      <c r="F4467" s="34">
        <f>E4465+F4465+F4466</f>
        <v>51342.2858266482</v>
      </c>
    </row>
    <row r="4468" customHeight="1" spans="1:6">
      <c r="A4468" s="331"/>
      <c r="B4468" s="332"/>
      <c r="C4468" s="331"/>
      <c r="D4468" s="331"/>
      <c r="E4468" s="331"/>
      <c r="F4468" s="331"/>
    </row>
    <row r="4469" customHeight="1" spans="1:6">
      <c r="A4469" s="331"/>
      <c r="B4469" s="332"/>
      <c r="C4469" s="331"/>
      <c r="D4469" s="331"/>
      <c r="E4469" s="331"/>
      <c r="F4469" s="331"/>
    </row>
    <row r="4470" customHeight="1" spans="1:6">
      <c r="A4470" s="331"/>
      <c r="B4470" s="332"/>
      <c r="C4470" s="331"/>
      <c r="D4470" s="331"/>
      <c r="E4470" s="331"/>
      <c r="F4470" s="331"/>
    </row>
    <row r="4471" customHeight="1" spans="1:6">
      <c r="A4471" s="248" t="s">
        <v>881</v>
      </c>
      <c r="B4471" s="225"/>
      <c r="C4471" s="225"/>
      <c r="D4471" s="225"/>
      <c r="E4471" s="225"/>
      <c r="F4471" s="225"/>
    </row>
    <row r="4472" customHeight="1" spans="1:6">
      <c r="A4472" s="278" t="s">
        <v>1296</v>
      </c>
      <c r="B4472" s="272"/>
      <c r="C4472" s="272"/>
      <c r="D4472" s="272"/>
      <c r="E4472" s="272"/>
      <c r="F4472" s="272"/>
    </row>
    <row r="4473" customHeight="1" spans="1:6">
      <c r="A4473" s="227" t="s">
        <v>1297</v>
      </c>
      <c r="B4473" s="227"/>
      <c r="C4473" s="272"/>
      <c r="D4473" s="272"/>
      <c r="E4473" s="228" t="s">
        <v>832</v>
      </c>
      <c r="F4473" s="228"/>
    </row>
    <row r="4474" customHeight="1" spans="1:6">
      <c r="A4474" s="146" t="s">
        <v>911</v>
      </c>
      <c r="B4474" s="233"/>
      <c r="C4474" s="233"/>
      <c r="D4474" s="233"/>
      <c r="E4474" s="233"/>
      <c r="F4474" s="147"/>
    </row>
    <row r="4475" customHeight="1" spans="1:6">
      <c r="A4475" s="7" t="s">
        <v>104</v>
      </c>
      <c r="B4475" s="7" t="s">
        <v>835</v>
      </c>
      <c r="C4475" s="7" t="s">
        <v>159</v>
      </c>
      <c r="D4475" s="7" t="s">
        <v>422</v>
      </c>
      <c r="E4475" s="7" t="s">
        <v>160</v>
      </c>
      <c r="F4475" s="7" t="s">
        <v>18</v>
      </c>
    </row>
    <row r="4476" customHeight="1" spans="1:6">
      <c r="A4476" s="7" t="s">
        <v>836</v>
      </c>
      <c r="B4476" s="7" t="s">
        <v>839</v>
      </c>
      <c r="C4476" s="7" t="s">
        <v>840</v>
      </c>
      <c r="D4476" s="34"/>
      <c r="E4476" s="42">
        <f>SUM(E4477:E4478)</f>
        <v>1280.1</v>
      </c>
      <c r="F4476" s="69">
        <f>SUM(F4477:F4478)</f>
        <v>9431.451</v>
      </c>
    </row>
    <row r="4477" customHeight="1" spans="1:6">
      <c r="A4477" s="7"/>
      <c r="B4477" s="7" t="s">
        <v>841</v>
      </c>
      <c r="C4477" s="7" t="s">
        <v>840</v>
      </c>
      <c r="D4477" s="69">
        <f>D4403</f>
        <v>8.1</v>
      </c>
      <c r="E4477" s="42">
        <v>877.8</v>
      </c>
      <c r="F4477" s="69">
        <f>D4477*E4477</f>
        <v>7110.18</v>
      </c>
    </row>
    <row r="4478" customHeight="1" spans="1:6">
      <c r="A4478" s="7"/>
      <c r="B4478" s="7" t="s">
        <v>842</v>
      </c>
      <c r="C4478" s="7" t="s">
        <v>840</v>
      </c>
      <c r="D4478" s="69">
        <f>D4404</f>
        <v>5.77</v>
      </c>
      <c r="E4478" s="42">
        <v>402.3</v>
      </c>
      <c r="F4478" s="69">
        <f>D4478*E4478</f>
        <v>2321.271</v>
      </c>
    </row>
    <row r="4479" customHeight="1" spans="1:6">
      <c r="A4479" s="7" t="s">
        <v>1110</v>
      </c>
      <c r="B4479" s="7" t="s">
        <v>912</v>
      </c>
      <c r="C4479" s="7"/>
      <c r="D4479" s="34"/>
      <c r="E4479" s="34"/>
      <c r="F4479" s="34">
        <f>SUM(F4480:F4487)</f>
        <v>21429.8462313547</v>
      </c>
    </row>
    <row r="4480" customHeight="1" spans="1:6">
      <c r="A4480" s="7"/>
      <c r="B4480" s="273" t="s">
        <v>996</v>
      </c>
      <c r="C4480" s="7" t="s">
        <v>169</v>
      </c>
      <c r="D4480" s="34">
        <f>材料预算价!K10</f>
        <v>2238.008025</v>
      </c>
      <c r="E4480" s="34">
        <v>0.19</v>
      </c>
      <c r="F4480" s="34">
        <f t="shared" ref="F4480:F4486" si="259">D4480*E4480</f>
        <v>425.22152475</v>
      </c>
    </row>
    <row r="4481" customHeight="1" spans="1:6">
      <c r="A4481" s="7"/>
      <c r="B4481" s="273" t="s">
        <v>1066</v>
      </c>
      <c r="C4481" s="273" t="s">
        <v>863</v>
      </c>
      <c r="D4481" s="34">
        <v>4.44</v>
      </c>
      <c r="E4481" s="34">
        <v>76.82</v>
      </c>
      <c r="F4481" s="34">
        <f t="shared" si="259"/>
        <v>341.0808</v>
      </c>
    </row>
    <row r="4482" customHeight="1" spans="1:6">
      <c r="A4482" s="7"/>
      <c r="B4482" s="273" t="s">
        <v>998</v>
      </c>
      <c r="C4482" s="273" t="s">
        <v>863</v>
      </c>
      <c r="D4482" s="34">
        <f>基础材料表!D30</f>
        <v>4.5</v>
      </c>
      <c r="E4482" s="34">
        <v>31.3</v>
      </c>
      <c r="F4482" s="34">
        <f t="shared" si="259"/>
        <v>140.85</v>
      </c>
    </row>
    <row r="4483" customHeight="1" spans="1:6">
      <c r="A4483" s="7"/>
      <c r="B4483" s="273" t="s">
        <v>999</v>
      </c>
      <c r="C4483" s="273" t="s">
        <v>863</v>
      </c>
      <c r="D4483" s="34">
        <f>基础材料表!D16</f>
        <v>5.15</v>
      </c>
      <c r="E4483" s="34">
        <v>45.35</v>
      </c>
      <c r="F4483" s="34">
        <f t="shared" si="259"/>
        <v>233.5525</v>
      </c>
    </row>
    <row r="4484" customHeight="1" spans="1:6">
      <c r="A4484" s="7"/>
      <c r="B4484" s="273" t="s">
        <v>1000</v>
      </c>
      <c r="C4484" s="273" t="s">
        <v>863</v>
      </c>
      <c r="D4484" s="34">
        <f>D4285</f>
        <v>4.5</v>
      </c>
      <c r="E4484" s="34">
        <v>276.72</v>
      </c>
      <c r="F4484" s="34">
        <f t="shared" si="259"/>
        <v>1245.24</v>
      </c>
    </row>
    <row r="4485" customHeight="1" spans="1:6">
      <c r="A4485" s="7"/>
      <c r="B4485" s="7" t="s">
        <v>1003</v>
      </c>
      <c r="C4485" s="7" t="s">
        <v>169</v>
      </c>
      <c r="D4485" s="34">
        <f>配合比!M9</f>
        <v>182.8439731</v>
      </c>
      <c r="E4485" s="34">
        <v>102</v>
      </c>
      <c r="F4485" s="34">
        <f t="shared" si="259"/>
        <v>18650.0852562</v>
      </c>
    </row>
    <row r="4486" customHeight="1" spans="1:6">
      <c r="A4486" s="7"/>
      <c r="B4486" s="7" t="s">
        <v>913</v>
      </c>
      <c r="C4486" s="7" t="s">
        <v>169</v>
      </c>
      <c r="D4486" s="34">
        <f>材料预算价!K13</f>
        <v>3.59</v>
      </c>
      <c r="E4486" s="34">
        <v>80</v>
      </c>
      <c r="F4486" s="34">
        <f t="shared" si="259"/>
        <v>287.2</v>
      </c>
    </row>
    <row r="4487" customHeight="1" spans="1:6">
      <c r="A4487" s="7"/>
      <c r="B4487" s="7" t="s">
        <v>1004</v>
      </c>
      <c r="C4487" s="9" t="s">
        <v>845</v>
      </c>
      <c r="D4487" s="34">
        <f>SUM(F4480:F4486)</f>
        <v>21323.23008095</v>
      </c>
      <c r="E4487" s="34">
        <v>0.5</v>
      </c>
      <c r="F4487" s="34">
        <f>D4487*E4487/100</f>
        <v>106.61615040475</v>
      </c>
    </row>
    <row r="4488" customHeight="1" spans="1:6">
      <c r="A4488" s="7" t="s">
        <v>1111</v>
      </c>
      <c r="B4488" s="7" t="s">
        <v>859</v>
      </c>
      <c r="C4488" s="7"/>
      <c r="D4488" s="34"/>
      <c r="E4488" s="34"/>
      <c r="F4488" s="34">
        <f>SUM(F4489:F4493)</f>
        <v>790.106530165138</v>
      </c>
    </row>
    <row r="4489" customHeight="1" spans="1:6">
      <c r="A4489" s="7"/>
      <c r="B4489" s="7" t="s">
        <v>1008</v>
      </c>
      <c r="C4489" s="7" t="s">
        <v>428</v>
      </c>
      <c r="D4489" s="34">
        <f>D4290</f>
        <v>23.9179521340247</v>
      </c>
      <c r="E4489" s="34">
        <v>18.36</v>
      </c>
      <c r="F4489" s="34">
        <f>D4489*E4489</f>
        <v>439.133601180694</v>
      </c>
    </row>
    <row r="4490" customHeight="1" spans="1:6">
      <c r="A4490" s="7"/>
      <c r="B4490" s="7" t="s">
        <v>1266</v>
      </c>
      <c r="C4490" s="7" t="s">
        <v>428</v>
      </c>
      <c r="D4490" s="34">
        <f>D4291</f>
        <v>1.82152692461109</v>
      </c>
      <c r="E4490" s="34">
        <v>35</v>
      </c>
      <c r="F4490" s="34">
        <f>D4490*E4490</f>
        <v>63.7534423613881</v>
      </c>
    </row>
    <row r="4491" customHeight="1" spans="1:6">
      <c r="A4491" s="7"/>
      <c r="B4491" s="7" t="s">
        <v>967</v>
      </c>
      <c r="C4491" s="7" t="s">
        <v>428</v>
      </c>
      <c r="D4491" s="34">
        <f>D4293</f>
        <v>0.813242919824491</v>
      </c>
      <c r="E4491" s="251">
        <v>139</v>
      </c>
      <c r="F4491" s="34">
        <f>D4491*E4491</f>
        <v>113.040765855604</v>
      </c>
    </row>
    <row r="4492" customHeight="1" spans="1:6">
      <c r="A4492" s="7"/>
      <c r="B4492" s="7" t="s">
        <v>1059</v>
      </c>
      <c r="C4492" s="7" t="s">
        <v>428</v>
      </c>
      <c r="D4492" s="34">
        <f>台时!H42</f>
        <v>49.389824491424</v>
      </c>
      <c r="E4492" s="251">
        <v>1.44</v>
      </c>
      <c r="F4492" s="34">
        <f>D4492*E4492</f>
        <v>71.1213472676506</v>
      </c>
    </row>
    <row r="4493" customHeight="1" spans="1:6">
      <c r="A4493" s="7"/>
      <c r="B4493" s="7" t="s">
        <v>918</v>
      </c>
      <c r="C4493" s="9" t="s">
        <v>845</v>
      </c>
      <c r="D4493" s="34">
        <f>SUM(F4489:F4492)</f>
        <v>687.049156665337</v>
      </c>
      <c r="E4493" s="34">
        <v>15</v>
      </c>
      <c r="F4493" s="34">
        <f>D4493*E4493/100</f>
        <v>103.057373499801</v>
      </c>
    </row>
    <row r="4494" customHeight="1" spans="1:6">
      <c r="A4494" s="7"/>
      <c r="B4494" s="7" t="s">
        <v>156</v>
      </c>
      <c r="C4494" s="7"/>
      <c r="D4494" s="34"/>
      <c r="E4494" s="34"/>
      <c r="F4494" s="34">
        <f>F4476+F4479+F4488</f>
        <v>31651.4037615199</v>
      </c>
    </row>
    <row r="4495" customHeight="1" spans="1:6">
      <c r="A4495" s="331"/>
      <c r="B4495" s="332"/>
      <c r="C4495" s="331"/>
      <c r="D4495" s="331"/>
      <c r="E4495" s="331"/>
      <c r="F4495" s="331"/>
    </row>
    <row r="4496" customHeight="1" spans="1:6">
      <c r="A4496" s="331"/>
      <c r="B4496" s="332"/>
      <c r="C4496" s="331"/>
      <c r="D4496" s="331"/>
      <c r="E4496" s="331"/>
      <c r="F4496" s="331"/>
    </row>
    <row r="4497" customHeight="1" spans="1:6">
      <c r="A4497" s="331"/>
      <c r="B4497" s="332"/>
      <c r="C4497" s="331"/>
      <c r="D4497" s="331"/>
      <c r="E4497" s="331"/>
      <c r="F4497" s="331"/>
    </row>
    <row r="4498" customHeight="1" spans="1:6">
      <c r="A4498" s="331"/>
      <c r="B4498" s="332"/>
      <c r="C4498" s="331"/>
      <c r="D4498" s="331"/>
      <c r="E4498" s="331"/>
      <c r="F4498" s="331"/>
    </row>
    <row r="4499" customHeight="1" spans="1:6">
      <c r="A4499" s="331"/>
      <c r="B4499" s="332"/>
      <c r="C4499" s="331"/>
      <c r="D4499" s="331"/>
      <c r="E4499" s="331"/>
      <c r="F4499" s="331"/>
    </row>
    <row r="4500" customHeight="1" spans="1:6">
      <c r="A4500" s="331"/>
      <c r="B4500" s="332"/>
      <c r="C4500" s="331"/>
      <c r="D4500" s="331"/>
      <c r="E4500" s="331"/>
      <c r="F4500" s="331"/>
    </row>
    <row r="4501" customHeight="1" spans="1:6">
      <c r="A4501" s="331"/>
      <c r="B4501" s="332"/>
      <c r="C4501" s="331"/>
      <c r="D4501" s="331"/>
      <c r="E4501" s="331"/>
      <c r="F4501" s="331"/>
    </row>
    <row r="4502" customHeight="1" spans="1:6">
      <c r="A4502" s="331"/>
      <c r="B4502" s="332"/>
      <c r="C4502" s="331"/>
      <c r="D4502" s="331"/>
      <c r="E4502" s="331"/>
      <c r="F4502" s="331"/>
    </row>
    <row r="4503" customHeight="1" spans="1:6">
      <c r="A4503" s="331"/>
      <c r="B4503" s="332"/>
      <c r="C4503" s="331"/>
      <c r="D4503" s="331"/>
      <c r="E4503" s="331"/>
      <c r="F4503" s="331"/>
    </row>
    <row r="4504" customHeight="1" spans="1:6">
      <c r="A4504" s="331"/>
      <c r="B4504" s="332"/>
      <c r="C4504" s="331"/>
      <c r="D4504" s="331"/>
      <c r="E4504" s="331"/>
      <c r="F4504" s="331"/>
    </row>
    <row r="4505" customHeight="1" spans="1:6">
      <c r="A4505" s="331"/>
      <c r="B4505" s="332"/>
      <c r="C4505" s="331"/>
      <c r="D4505" s="331"/>
      <c r="E4505" s="331"/>
      <c r="F4505" s="331"/>
    </row>
    <row r="4506" customHeight="1" spans="1:6">
      <c r="A4506" s="331"/>
      <c r="B4506" s="332"/>
      <c r="C4506" s="331"/>
      <c r="D4506" s="331"/>
      <c r="E4506" s="331"/>
      <c r="F4506" s="331"/>
    </row>
    <row r="4507" customHeight="1" spans="1:6">
      <c r="A4507" s="331"/>
      <c r="B4507" s="332"/>
      <c r="C4507" s="331"/>
      <c r="D4507" s="331"/>
      <c r="E4507" s="331"/>
      <c r="F4507" s="331"/>
    </row>
    <row r="4508" customHeight="1" spans="1:6">
      <c r="A4508" s="331"/>
      <c r="B4508" s="332"/>
      <c r="C4508" s="331"/>
      <c r="D4508" s="331"/>
      <c r="E4508" s="331"/>
      <c r="F4508" s="331"/>
    </row>
    <row r="4509" ht="17.1" customHeight="1" spans="1:6">
      <c r="A4509" s="248" t="s">
        <v>881</v>
      </c>
      <c r="B4509" s="225"/>
      <c r="C4509" s="225"/>
      <c r="D4509" s="225"/>
      <c r="E4509" s="225"/>
      <c r="F4509" s="225"/>
    </row>
    <row r="4510" ht="17.1" customHeight="1" spans="1:6">
      <c r="A4510" s="278" t="s">
        <v>1298</v>
      </c>
      <c r="B4510" s="272"/>
      <c r="C4510" s="272"/>
      <c r="D4510" s="272"/>
      <c r="E4510" s="272"/>
      <c r="F4510" s="272"/>
    </row>
    <row r="4511" ht="17.1" customHeight="1" spans="1:6">
      <c r="A4511" s="227" t="s">
        <v>1299</v>
      </c>
      <c r="B4511" s="227"/>
      <c r="C4511" s="229"/>
      <c r="D4511" s="229"/>
      <c r="E4511" s="228" t="s">
        <v>946</v>
      </c>
      <c r="F4511" s="228"/>
    </row>
    <row r="4512" ht="17.1" customHeight="1" spans="1:6">
      <c r="A4512" s="232" t="s">
        <v>1300</v>
      </c>
      <c r="B4512" s="234"/>
      <c r="C4512" s="233"/>
      <c r="D4512" s="233"/>
      <c r="E4512" s="233"/>
      <c r="F4512" s="147"/>
    </row>
    <row r="4513" ht="17.1" customHeight="1" spans="1:6">
      <c r="A4513" s="7" t="s">
        <v>104</v>
      </c>
      <c r="B4513" s="7" t="s">
        <v>835</v>
      </c>
      <c r="C4513" s="7" t="s">
        <v>159</v>
      </c>
      <c r="D4513" s="7" t="s">
        <v>422</v>
      </c>
      <c r="E4513" s="7" t="s">
        <v>160</v>
      </c>
      <c r="F4513" s="7" t="s">
        <v>18</v>
      </c>
    </row>
    <row r="4514" ht="17.1" customHeight="1" spans="1:6">
      <c r="A4514" s="7" t="s">
        <v>1105</v>
      </c>
      <c r="B4514" s="7" t="s">
        <v>837</v>
      </c>
      <c r="C4514" s="7"/>
      <c r="D4514" s="7"/>
      <c r="E4514" s="7"/>
      <c r="F4514" s="34">
        <f>F4515+F4528+F4529</f>
        <v>43687.7924661304</v>
      </c>
    </row>
    <row r="4515" ht="17.1" customHeight="1" spans="1:6">
      <c r="A4515" s="7" t="s">
        <v>539</v>
      </c>
      <c r="B4515" s="7" t="s">
        <v>838</v>
      </c>
      <c r="C4515" s="7"/>
      <c r="D4515" s="7"/>
      <c r="E4515" s="7"/>
      <c r="F4515" s="34">
        <f>F4516+F4519+F4523+F4527</f>
        <v>41686.8248722618</v>
      </c>
    </row>
    <row r="4516" ht="17.1" customHeight="1" spans="1:6">
      <c r="A4516" s="7">
        <v>1</v>
      </c>
      <c r="B4516" s="7" t="s">
        <v>839</v>
      </c>
      <c r="C4516" s="7" t="s">
        <v>840</v>
      </c>
      <c r="D4516" s="34"/>
      <c r="E4516" s="42">
        <f>SUM(E4517:E4518)</f>
        <v>658.8</v>
      </c>
      <c r="F4516" s="69">
        <f>SUM(F4517:F4518)</f>
        <v>4423.386</v>
      </c>
    </row>
    <row r="4517" ht="17.1" customHeight="1" spans="1:6">
      <c r="A4517" s="7"/>
      <c r="B4517" s="7" t="s">
        <v>841</v>
      </c>
      <c r="C4517" s="7" t="s">
        <v>840</v>
      </c>
      <c r="D4517" s="69">
        <f>D4477</f>
        <v>8.1</v>
      </c>
      <c r="E4517" s="42">
        <v>267</v>
      </c>
      <c r="F4517" s="69">
        <f>D4517*E4517</f>
        <v>2162.7</v>
      </c>
    </row>
    <row r="4518" ht="17.1" customHeight="1" spans="1:6">
      <c r="A4518" s="7"/>
      <c r="B4518" s="7" t="s">
        <v>842</v>
      </c>
      <c r="C4518" s="7" t="s">
        <v>840</v>
      </c>
      <c r="D4518" s="69">
        <f>D4478</f>
        <v>5.77</v>
      </c>
      <c r="E4518" s="42">
        <v>391.8</v>
      </c>
      <c r="F4518" s="69">
        <f>D4518*E4518</f>
        <v>2260.686</v>
      </c>
    </row>
    <row r="4519" ht="17.1" customHeight="1" spans="1:6">
      <c r="A4519" s="7">
        <v>2</v>
      </c>
      <c r="B4519" s="7" t="s">
        <v>912</v>
      </c>
      <c r="C4519" s="7"/>
      <c r="D4519" s="34"/>
      <c r="E4519" s="34"/>
      <c r="F4519" s="34">
        <f>SUM(F4520:F4522)</f>
        <v>31589.1469155013</v>
      </c>
    </row>
    <row r="4520" ht="17.1" customHeight="1" spans="1:6">
      <c r="A4520" s="7"/>
      <c r="B4520" s="273" t="s">
        <v>1301</v>
      </c>
      <c r="C4520" s="273" t="s">
        <v>863</v>
      </c>
      <c r="D4520" s="34">
        <f>F4494/100</f>
        <v>316.514037615199</v>
      </c>
      <c r="E4520" s="335">
        <v>92</v>
      </c>
      <c r="F4520" s="34">
        <f>D4520*E4520</f>
        <v>29119.2914605983</v>
      </c>
    </row>
    <row r="4521" ht="17.1" customHeight="1" spans="1:6">
      <c r="A4521" s="7"/>
      <c r="B4521" s="273" t="s">
        <v>1186</v>
      </c>
      <c r="C4521" s="273" t="s">
        <v>1187</v>
      </c>
      <c r="D4521" s="34">
        <f>配合比!M15</f>
        <v>144.54347</v>
      </c>
      <c r="E4521" s="273">
        <v>16</v>
      </c>
      <c r="F4521" s="34">
        <f>D4521*E4521</f>
        <v>2312.69552</v>
      </c>
    </row>
    <row r="4522" ht="17.1" customHeight="1" spans="1:6">
      <c r="A4522" s="7"/>
      <c r="B4522" s="7" t="s">
        <v>952</v>
      </c>
      <c r="C4522" s="7" t="s">
        <v>845</v>
      </c>
      <c r="D4522" s="34">
        <f>SUM(F4520:F4521)</f>
        <v>31431.9869805983</v>
      </c>
      <c r="E4522" s="246">
        <v>0.5</v>
      </c>
      <c r="F4522" s="34">
        <f>D4522*E4522/100</f>
        <v>157.159934902991</v>
      </c>
    </row>
    <row r="4523" ht="17.1" customHeight="1" spans="1:6">
      <c r="A4523" s="7">
        <v>3</v>
      </c>
      <c r="B4523" s="7" t="s">
        <v>859</v>
      </c>
      <c r="C4523" s="7"/>
      <c r="D4523" s="34"/>
      <c r="E4523" s="34"/>
      <c r="F4523" s="34">
        <f>SUM(F4524:F4526)</f>
        <v>167.668319617072</v>
      </c>
    </row>
    <row r="4524" ht="17.1" customHeight="1" spans="1:6">
      <c r="A4524" s="7"/>
      <c r="B4524" s="7" t="s">
        <v>1008</v>
      </c>
      <c r="C4524" s="7" t="s">
        <v>428</v>
      </c>
      <c r="D4524" s="34">
        <f>D4489</f>
        <v>23.9179521340247</v>
      </c>
      <c r="E4524" s="34">
        <v>2.88</v>
      </c>
      <c r="F4524" s="34">
        <f>D4524*E4524</f>
        <v>68.8837021459912</v>
      </c>
    </row>
    <row r="4525" ht="17.1" customHeight="1" spans="1:8">
      <c r="A4525" s="7"/>
      <c r="B4525" s="7" t="s">
        <v>967</v>
      </c>
      <c r="C4525" s="7" t="s">
        <v>428</v>
      </c>
      <c r="D4525" s="34">
        <f>D4491</f>
        <v>0.813242919824491</v>
      </c>
      <c r="E4525" s="7">
        <v>121.47</v>
      </c>
      <c r="F4525" s="34">
        <f>D4525*E4525</f>
        <v>98.784617471081</v>
      </c>
      <c r="H4525" s="223" t="s">
        <v>1302</v>
      </c>
    </row>
    <row r="4526" ht="17.1" customHeight="1" spans="1:6">
      <c r="A4526" s="7"/>
      <c r="B4526" s="7"/>
      <c r="C4526" s="7"/>
      <c r="D4526" s="34"/>
      <c r="E4526" s="7"/>
      <c r="F4526" s="34"/>
    </row>
    <row r="4527" ht="17.1" customHeight="1" spans="1:6">
      <c r="A4527" s="7">
        <v>4</v>
      </c>
      <c r="B4527" s="7" t="s">
        <v>1286</v>
      </c>
      <c r="C4527" s="7" t="s">
        <v>1187</v>
      </c>
      <c r="D4527" s="34">
        <f>F4302/100</f>
        <v>59.8546047515591</v>
      </c>
      <c r="E4527" s="7">
        <v>92</v>
      </c>
      <c r="F4527" s="34">
        <f>D4527*E4527</f>
        <v>5506.62363714344</v>
      </c>
    </row>
    <row r="4528" ht="17.1" customHeight="1" spans="1:6">
      <c r="A4528" s="7" t="s">
        <v>564</v>
      </c>
      <c r="B4528" s="7" t="s">
        <v>846</v>
      </c>
      <c r="C4528" s="52">
        <f>取费表!C6</f>
        <v>0.048</v>
      </c>
      <c r="D4528" s="34"/>
      <c r="E4528" s="34">
        <f>F4515</f>
        <v>41686.8248722618</v>
      </c>
      <c r="F4528" s="34">
        <f>E4528*C4528</f>
        <v>2000.96759386857</v>
      </c>
    </row>
    <row r="4529" ht="17.1" customHeight="1" spans="1:6">
      <c r="A4529" s="7"/>
      <c r="B4529" s="7"/>
      <c r="C4529" s="52"/>
      <c r="D4529" s="34"/>
      <c r="E4529" s="34"/>
      <c r="F4529" s="34"/>
    </row>
    <row r="4530" ht="17.1" customHeight="1" spans="1:6">
      <c r="A4530" s="7" t="s">
        <v>439</v>
      </c>
      <c r="B4530" s="7" t="s">
        <v>847</v>
      </c>
      <c r="C4530" s="52">
        <f>取费表!E6</f>
        <v>0.085</v>
      </c>
      <c r="D4530" s="34"/>
      <c r="E4530" s="34">
        <f>F4514</f>
        <v>43687.7924661304</v>
      </c>
      <c r="F4530" s="34">
        <f>E4530*C4530</f>
        <v>3713.46235962108</v>
      </c>
    </row>
    <row r="4531" ht="17.1" customHeight="1" spans="1:6">
      <c r="A4531" s="7" t="s">
        <v>83</v>
      </c>
      <c r="B4531" s="7" t="s">
        <v>848</v>
      </c>
      <c r="C4531" s="52">
        <f>取费表!F6</f>
        <v>0.07</v>
      </c>
      <c r="D4531" s="34"/>
      <c r="E4531" s="34">
        <f>F4530+F4514</f>
        <v>47401.2548257515</v>
      </c>
      <c r="F4531" s="34">
        <f>E4531*C4531</f>
        <v>3318.0878378026</v>
      </c>
    </row>
    <row r="4532" ht="17.1" customHeight="1" spans="1:6">
      <c r="A4532" s="5" t="s">
        <v>121</v>
      </c>
      <c r="B4532" s="5" t="s">
        <v>861</v>
      </c>
      <c r="C4532" s="5"/>
      <c r="D4532" s="276"/>
      <c r="E4532" s="5"/>
      <c r="F4532" s="277">
        <f>F4533+F4538</f>
        <v>12652.4287671585</v>
      </c>
    </row>
    <row r="4533" ht="17.1" customHeight="1" spans="1:6">
      <c r="A4533" s="7">
        <v>1</v>
      </c>
      <c r="B4533" s="7" t="s">
        <v>1011</v>
      </c>
      <c r="C4533" s="7"/>
      <c r="D4533" s="34"/>
      <c r="E4533" s="7"/>
      <c r="F4533" s="69">
        <f>SUM(F4534:F4537)</f>
        <v>10504.6618071585</v>
      </c>
    </row>
    <row r="4534" ht="17.1" customHeight="1" spans="1:6">
      <c r="A4534" s="7"/>
      <c r="B4534" s="7"/>
      <c r="C4534" s="7"/>
      <c r="D4534" s="34"/>
      <c r="E4534" s="34"/>
      <c r="F4534" s="69"/>
    </row>
    <row r="4535" ht="17.1" customHeight="1" spans="1:6">
      <c r="A4535" s="7"/>
      <c r="B4535" s="7" t="s">
        <v>979</v>
      </c>
      <c r="C4535" s="7" t="s">
        <v>200</v>
      </c>
      <c r="D4535" s="34">
        <f>D4423</f>
        <v>141.58936</v>
      </c>
      <c r="E4535" s="38">
        <f>E4485*配合比!E9+新定额单价!E4521*配合比!E15</f>
        <v>39.492676</v>
      </c>
      <c r="F4535" s="69">
        <f>E4535*D4535</f>
        <v>5591.74271952736</v>
      </c>
    </row>
    <row r="4536" ht="17.1" customHeight="1" spans="1:6">
      <c r="A4536" s="7"/>
      <c r="B4536" s="7" t="s">
        <v>961</v>
      </c>
      <c r="C4536" s="7" t="s">
        <v>169</v>
      </c>
      <c r="D4536" s="34">
        <f>材料预算价!K7-材料预算价!L7</f>
        <v>34.366056</v>
      </c>
      <c r="E4536" s="38">
        <f>E4485*配合比!G9+新定额单价!E4521*配合比!G15</f>
        <v>79.17536</v>
      </c>
      <c r="F4536" s="69">
        <f>E4536*D4536</f>
        <v>2720.94485558016</v>
      </c>
    </row>
    <row r="4537" ht="17.1" customHeight="1" spans="1:6">
      <c r="A4537" s="7"/>
      <c r="B4537" s="7" t="s">
        <v>1012</v>
      </c>
      <c r="C4537" s="7" t="s">
        <v>169</v>
      </c>
      <c r="D4537" s="34">
        <f>D4425</f>
        <v>29.13701</v>
      </c>
      <c r="E4537" s="38">
        <f>102*配合比!I9</f>
        <v>75.229896</v>
      </c>
      <c r="F4537" s="69">
        <f>E4537*D4537</f>
        <v>2191.97423205096</v>
      </c>
    </row>
    <row r="4538" ht="17.1" customHeight="1" spans="1:6">
      <c r="A4538" s="7">
        <v>2</v>
      </c>
      <c r="B4538" s="7" t="s">
        <v>1013</v>
      </c>
      <c r="C4538" s="7"/>
      <c r="D4538" s="34"/>
      <c r="E4538" s="38"/>
      <c r="F4538" s="69">
        <f>SUM(F4539:F4540)</f>
        <v>2147.76696</v>
      </c>
    </row>
    <row r="4539" ht="17.1" customHeight="1" spans="1:6">
      <c r="A4539" s="7"/>
      <c r="B4539" s="7" t="s">
        <v>862</v>
      </c>
      <c r="C4539" s="7" t="s">
        <v>863</v>
      </c>
      <c r="D4539" s="34">
        <f>D4347</f>
        <v>4.58</v>
      </c>
      <c r="E4539" s="38">
        <f>E4315</f>
        <v>455.532</v>
      </c>
      <c r="F4539" s="69">
        <f>D4539*E4539</f>
        <v>2086.33656</v>
      </c>
    </row>
    <row r="4540" ht="17.1" customHeight="1" spans="1:6">
      <c r="A4540" s="7"/>
      <c r="B4540" s="7" t="s">
        <v>1269</v>
      </c>
      <c r="C4540" s="7" t="s">
        <v>863</v>
      </c>
      <c r="D4540" s="34">
        <f>材料预算价!K12-材料预算价!L12</f>
        <v>5.925</v>
      </c>
      <c r="E4540" s="38">
        <f>E4492*台时!H34</f>
        <v>10.368</v>
      </c>
      <c r="F4540" s="69">
        <f>D4540*E4540</f>
        <v>61.4304</v>
      </c>
    </row>
    <row r="4541" ht="17.1" customHeight="1" spans="1:6">
      <c r="A4541" s="7" t="s">
        <v>135</v>
      </c>
      <c r="B4541" s="7" t="s">
        <v>849</v>
      </c>
      <c r="C4541" s="53">
        <f>取费表!G7</f>
        <v>0.09</v>
      </c>
      <c r="D4541" s="34"/>
      <c r="E4541" s="34">
        <f>F4532+F4531+F4530+F4514</f>
        <v>63371.7714307126</v>
      </c>
      <c r="F4541" s="34">
        <f>E4541*C4541</f>
        <v>5703.45942876413</v>
      </c>
    </row>
    <row r="4542" ht="17.1" customHeight="1" spans="1:6">
      <c r="A4542" s="7"/>
      <c r="B4542" s="7" t="s">
        <v>850</v>
      </c>
      <c r="C4542" s="53"/>
      <c r="D4542" s="34"/>
      <c r="E4542" s="34"/>
      <c r="F4542" s="34">
        <f>(F4514+F4530+F4531+F4532+F4541)*取费表!H4</f>
        <v>2072.2569257843</v>
      </c>
    </row>
    <row r="4543" ht="17.1" customHeight="1" spans="1:6">
      <c r="A4543" s="7"/>
      <c r="B4543" s="7" t="s">
        <v>156</v>
      </c>
      <c r="C4543" s="7"/>
      <c r="D4543" s="34"/>
      <c r="E4543" s="34"/>
      <c r="F4543" s="34">
        <f>F4541+E4541+F4542</f>
        <v>71147.487785261</v>
      </c>
    </row>
    <row r="4544" ht="17.1" customHeight="1" spans="1:6">
      <c r="A4544" s="7"/>
      <c r="B4544" s="7"/>
      <c r="C4544" s="7"/>
      <c r="D4544" s="34"/>
      <c r="E4544" s="34"/>
      <c r="F4544" s="34"/>
    </row>
    <row r="4545" ht="17.1" customHeight="1" spans="1:6">
      <c r="A4545" s="7"/>
      <c r="B4545" s="7"/>
      <c r="C4545" s="7"/>
      <c r="D4545" s="34"/>
      <c r="E4545" s="34"/>
      <c r="F4545" s="34"/>
    </row>
    <row r="4546" ht="17.1" customHeight="1" spans="1:6">
      <c r="A4546" s="7"/>
      <c r="B4546" s="7"/>
      <c r="C4546" s="7"/>
      <c r="D4546" s="34"/>
      <c r="E4546" s="34"/>
      <c r="F4546" s="34"/>
    </row>
    <row r="4547" ht="17.1" customHeight="1" spans="1:6">
      <c r="A4547" s="7"/>
      <c r="B4547" s="7"/>
      <c r="C4547" s="7"/>
      <c r="D4547" s="34"/>
      <c r="E4547" s="34"/>
      <c r="F4547" s="34"/>
    </row>
    <row r="4548" ht="17.1" customHeight="1" spans="1:6">
      <c r="A4548" s="7"/>
      <c r="B4548" s="7"/>
      <c r="C4548" s="7"/>
      <c r="D4548" s="34"/>
      <c r="E4548" s="34"/>
      <c r="F4548" s="34"/>
    </row>
    <row r="4549" customHeight="1" spans="1:6">
      <c r="A4549" s="248" t="s">
        <v>881</v>
      </c>
      <c r="B4549" s="225"/>
      <c r="C4549" s="225"/>
      <c r="D4549" s="225"/>
      <c r="E4549" s="225"/>
      <c r="F4549" s="225"/>
    </row>
    <row r="4550" customHeight="1" spans="1:6">
      <c r="A4550" s="249" t="s">
        <v>1303</v>
      </c>
      <c r="B4550" s="229"/>
      <c r="C4550" s="229"/>
      <c r="D4550" s="229"/>
      <c r="E4550" s="229"/>
      <c r="F4550" s="229"/>
    </row>
    <row r="4551" customHeight="1" spans="1:6">
      <c r="A4551" s="228" t="s">
        <v>1304</v>
      </c>
      <c r="B4551" s="228"/>
      <c r="C4551" s="229"/>
      <c r="D4551" s="229"/>
      <c r="E4551" s="228" t="s">
        <v>857</v>
      </c>
      <c r="F4551" s="228"/>
    </row>
    <row r="4552" customHeight="1" spans="1:6">
      <c r="A4552" s="146" t="s">
        <v>959</v>
      </c>
      <c r="B4552" s="233"/>
      <c r="C4552" s="233"/>
      <c r="D4552" s="233"/>
      <c r="E4552" s="233"/>
      <c r="F4552" s="147"/>
    </row>
    <row r="4553" customHeight="1" spans="1:6">
      <c r="A4553" s="7" t="s">
        <v>104</v>
      </c>
      <c r="B4553" s="7" t="s">
        <v>835</v>
      </c>
      <c r="C4553" s="7" t="s">
        <v>159</v>
      </c>
      <c r="D4553" s="7" t="s">
        <v>422</v>
      </c>
      <c r="E4553" s="7" t="s">
        <v>160</v>
      </c>
      <c r="F4553" s="7" t="s">
        <v>18</v>
      </c>
    </row>
    <row r="4554" customHeight="1" spans="1:6">
      <c r="A4554" s="7" t="s">
        <v>836</v>
      </c>
      <c r="B4554" s="7" t="s">
        <v>837</v>
      </c>
      <c r="C4554" s="7"/>
      <c r="D4554" s="7"/>
      <c r="E4554" s="7"/>
      <c r="F4554" s="34">
        <f>F4555+F4565+F4566</f>
        <v>1160.74735370616</v>
      </c>
    </row>
    <row r="4555" customHeight="1" spans="1:6">
      <c r="A4555" s="7" t="s">
        <v>539</v>
      </c>
      <c r="B4555" s="7" t="s">
        <v>838</v>
      </c>
      <c r="C4555" s="7"/>
      <c r="D4555" s="7"/>
      <c r="E4555" s="7"/>
      <c r="F4555" s="34">
        <f>F4556+F4559+F4562</f>
        <v>1107.58335277305</v>
      </c>
    </row>
    <row r="4556" customHeight="1" spans="1:6">
      <c r="A4556" s="7">
        <v>1</v>
      </c>
      <c r="B4556" s="7" t="s">
        <v>839</v>
      </c>
      <c r="C4556" s="7" t="s">
        <v>840</v>
      </c>
      <c r="D4556" s="69"/>
      <c r="E4556" s="42">
        <f>SUM(E4557:E4558)</f>
        <v>98.8</v>
      </c>
      <c r="F4556" s="69">
        <f>SUM(F4557:F4558)</f>
        <v>639.277</v>
      </c>
    </row>
    <row r="4557" customHeight="1" spans="1:6">
      <c r="A4557" s="7"/>
      <c r="B4557" s="7" t="s">
        <v>841</v>
      </c>
      <c r="C4557" s="7" t="s">
        <v>840</v>
      </c>
      <c r="D4557" s="69">
        <f>D4403</f>
        <v>8.1</v>
      </c>
      <c r="E4557" s="42">
        <f>19.8+9.9</f>
        <v>29.7</v>
      </c>
      <c r="F4557" s="69">
        <f>D4557*E4557</f>
        <v>240.57</v>
      </c>
    </row>
    <row r="4558" customHeight="1" spans="1:6">
      <c r="A4558" s="7"/>
      <c r="B4558" s="7" t="s">
        <v>842</v>
      </c>
      <c r="C4558" s="7" t="s">
        <v>840</v>
      </c>
      <c r="D4558" s="69">
        <f>D4404</f>
        <v>5.77</v>
      </c>
      <c r="E4558" s="42">
        <f>46.1+23</f>
        <v>69.1</v>
      </c>
      <c r="F4558" s="69">
        <f>D4558*E4558</f>
        <v>398.707</v>
      </c>
    </row>
    <row r="4559" customHeight="1" spans="1:6">
      <c r="A4559" s="7">
        <v>2</v>
      </c>
      <c r="B4559" s="7" t="s">
        <v>912</v>
      </c>
      <c r="C4559" s="7"/>
      <c r="D4559" s="7"/>
      <c r="E4559" s="7"/>
      <c r="F4559" s="69">
        <f>SUM(F4560:F4561)</f>
        <v>448.45181172</v>
      </c>
    </row>
    <row r="4560" customHeight="1" spans="1:6">
      <c r="A4560" s="7"/>
      <c r="B4560" s="7" t="s">
        <v>1305</v>
      </c>
      <c r="C4560" s="9" t="s">
        <v>776</v>
      </c>
      <c r="D4560" s="69">
        <f>配合比!M13</f>
        <v>125.82823</v>
      </c>
      <c r="E4560" s="7">
        <f>2.25+1.05</f>
        <v>3.3</v>
      </c>
      <c r="F4560" s="69">
        <f>D4560*E4560</f>
        <v>415.233159</v>
      </c>
    </row>
    <row r="4561" customHeight="1" spans="1:6">
      <c r="A4561" s="7"/>
      <c r="B4561" s="7" t="s">
        <v>952</v>
      </c>
      <c r="C4561" s="9" t="s">
        <v>845</v>
      </c>
      <c r="D4561" s="69">
        <f>SUM(F4560:F4560)</f>
        <v>415.233159</v>
      </c>
      <c r="E4561" s="7">
        <v>8</v>
      </c>
      <c r="F4561" s="69">
        <f>D4561*E4561/100</f>
        <v>33.21865272</v>
      </c>
    </row>
    <row r="4562" customHeight="1" spans="1:6">
      <c r="A4562" s="7">
        <v>3</v>
      </c>
      <c r="B4562" s="7" t="s">
        <v>859</v>
      </c>
      <c r="C4562" s="7"/>
      <c r="D4562" s="7"/>
      <c r="E4562" s="7"/>
      <c r="F4562" s="69">
        <f>SUM(F4563:F4564)</f>
        <v>19.8545410530515</v>
      </c>
    </row>
    <row r="4563" customHeight="1" spans="1:6">
      <c r="A4563" s="7"/>
      <c r="B4563" s="7" t="s">
        <v>967</v>
      </c>
      <c r="C4563" s="7" t="s">
        <v>428</v>
      </c>
      <c r="D4563" s="34">
        <f>D4525</f>
        <v>0.813242919824491</v>
      </c>
      <c r="E4563" s="7">
        <f>5.1+2.55</f>
        <v>7.65</v>
      </c>
      <c r="F4563" s="69">
        <f>D4563*E4563</f>
        <v>6.22130833665736</v>
      </c>
    </row>
    <row r="4564" customHeight="1" spans="1:6">
      <c r="A4564" s="7"/>
      <c r="B4564" s="7" t="s">
        <v>1306</v>
      </c>
      <c r="C4564" s="7" t="s">
        <v>428</v>
      </c>
      <c r="D4564" s="69">
        <f>台时!D42</f>
        <v>23.9179521340247</v>
      </c>
      <c r="E4564" s="7">
        <f>0.38+0.19</f>
        <v>0.57</v>
      </c>
      <c r="F4564" s="69">
        <f>D4564*E4564</f>
        <v>13.6332327163941</v>
      </c>
    </row>
    <row r="4565" customHeight="1" spans="1:6">
      <c r="A4565" s="7" t="s">
        <v>564</v>
      </c>
      <c r="B4565" s="7" t="s">
        <v>846</v>
      </c>
      <c r="C4565" s="230">
        <f>C4528</f>
        <v>0.048</v>
      </c>
      <c r="D4565" s="69"/>
      <c r="E4565" s="34">
        <f>F4555</f>
        <v>1107.58335277305</v>
      </c>
      <c r="F4565" s="69">
        <f>E4565*C4565</f>
        <v>53.1640009331065</v>
      </c>
    </row>
    <row r="4566" customHeight="1" spans="1:6">
      <c r="A4566" s="7"/>
      <c r="B4566" s="7"/>
      <c r="C4566" s="230"/>
      <c r="D4566" s="69"/>
      <c r="E4566" s="34"/>
      <c r="F4566" s="69"/>
    </row>
    <row r="4567" customHeight="1" spans="1:6">
      <c r="A4567" s="7" t="s">
        <v>439</v>
      </c>
      <c r="B4567" s="7" t="s">
        <v>847</v>
      </c>
      <c r="C4567" s="230">
        <f>C4530</f>
        <v>0.085</v>
      </c>
      <c r="D4567" s="69"/>
      <c r="E4567" s="34">
        <f>F4554</f>
        <v>1160.74735370616</v>
      </c>
      <c r="F4567" s="69">
        <f>E4567*C4567</f>
        <v>98.6635250650234</v>
      </c>
    </row>
    <row r="4568" customHeight="1" spans="1:6">
      <c r="A4568" s="7" t="s">
        <v>83</v>
      </c>
      <c r="B4568" s="7" t="s">
        <v>848</v>
      </c>
      <c r="C4568" s="230">
        <f>C4531</f>
        <v>0.07</v>
      </c>
      <c r="D4568" s="69"/>
      <c r="E4568" s="34">
        <f>F4567+F4554</f>
        <v>1259.41087877118</v>
      </c>
      <c r="F4568" s="69">
        <f>E4568*C4568</f>
        <v>88.1587615139827</v>
      </c>
    </row>
    <row r="4569" customHeight="1" spans="1:6">
      <c r="A4569" s="7" t="s">
        <v>121</v>
      </c>
      <c r="B4569" s="7" t="s">
        <v>861</v>
      </c>
      <c r="C4569" s="7"/>
      <c r="D4569" s="7"/>
      <c r="E4569" s="7"/>
      <c r="F4569" s="69">
        <f>SUM(F4570:F4571)</f>
        <v>212.93728020048</v>
      </c>
    </row>
    <row r="4570" customHeight="1" spans="1:6">
      <c r="A4570" s="7"/>
      <c r="B4570" s="7" t="s">
        <v>979</v>
      </c>
      <c r="C4570" s="7" t="s">
        <v>169</v>
      </c>
      <c r="D4570" s="34">
        <f>D4535</f>
        <v>141.58936</v>
      </c>
      <c r="E4570" s="38">
        <f>E4560*配合比!E13</f>
        <v>0.598818</v>
      </c>
      <c r="F4570" s="69">
        <f>E4570*D4570</f>
        <v>84.78625737648</v>
      </c>
    </row>
    <row r="4571" customHeight="1" spans="1:6">
      <c r="A4571" s="7"/>
      <c r="B4571" s="7" t="s">
        <v>961</v>
      </c>
      <c r="C4571" s="7" t="s">
        <v>169</v>
      </c>
      <c r="D4571" s="34">
        <f>D4536</f>
        <v>34.366056</v>
      </c>
      <c r="E4571" s="38">
        <f>E4560*配合比!G13</f>
        <v>3.729</v>
      </c>
      <c r="F4571" s="69">
        <f>E4571*D4571</f>
        <v>128.151022824</v>
      </c>
    </row>
    <row r="4572" customHeight="1" spans="1:6">
      <c r="A4572" s="7"/>
      <c r="B4572" s="7" t="s">
        <v>1012</v>
      </c>
      <c r="C4572" s="7" t="s">
        <v>169</v>
      </c>
      <c r="D4572" s="7"/>
      <c r="E4572" s="7"/>
      <c r="F4572" s="69"/>
    </row>
    <row r="4573" customHeight="1" spans="1:6">
      <c r="A4573" s="7" t="s">
        <v>135</v>
      </c>
      <c r="B4573" s="7" t="s">
        <v>849</v>
      </c>
      <c r="C4573" s="231">
        <f>C4541</f>
        <v>0.09</v>
      </c>
      <c r="D4573" s="7"/>
      <c r="E4573" s="34">
        <f>F4569+F4568+F4567+F4554</f>
        <v>1560.50692048565</v>
      </c>
      <c r="F4573" s="69">
        <f>E4573*C4573</f>
        <v>140.445622843708</v>
      </c>
    </row>
    <row r="4574" customHeight="1" spans="1:6">
      <c r="A4574" s="7"/>
      <c r="B4574" s="7" t="s">
        <v>850</v>
      </c>
      <c r="C4574" s="231"/>
      <c r="D4574" s="7"/>
      <c r="E4574" s="34"/>
      <c r="F4574" s="69">
        <f>(F4554+F4567+F4568+F4569+F4573)*取费表!H12</f>
        <v>51.0285762998806</v>
      </c>
    </row>
    <row r="4575" customHeight="1" spans="1:6">
      <c r="A4575" s="7"/>
      <c r="B4575" s="7" t="s">
        <v>156</v>
      </c>
      <c r="C4575" s="7"/>
      <c r="D4575" s="7"/>
      <c r="E4575" s="7"/>
      <c r="F4575" s="69">
        <f>F4573+E4573+F4574</f>
        <v>1751.98111962923</v>
      </c>
    </row>
    <row r="4576" customHeight="1" spans="1:6">
      <c r="A4576" s="331"/>
      <c r="B4576" s="332"/>
      <c r="C4576" s="331"/>
      <c r="D4576" s="331"/>
      <c r="E4576" s="331"/>
      <c r="F4576" s="331"/>
    </row>
    <row r="4577" customHeight="1" spans="1:6">
      <c r="A4577" s="331"/>
      <c r="B4577" s="332"/>
      <c r="C4577" s="331"/>
      <c r="D4577" s="331"/>
      <c r="E4577" s="331"/>
      <c r="F4577" s="331"/>
    </row>
    <row r="4578" customHeight="1" spans="1:6">
      <c r="A4578" s="331"/>
      <c r="B4578" s="332"/>
      <c r="C4578" s="331"/>
      <c r="D4578" s="331"/>
      <c r="E4578" s="331"/>
      <c r="F4578" s="331"/>
    </row>
    <row r="4579" customHeight="1" spans="1:6">
      <c r="A4579" s="331"/>
      <c r="B4579" s="332"/>
      <c r="C4579" s="331"/>
      <c r="D4579" s="331"/>
      <c r="E4579" s="331"/>
      <c r="F4579" s="331"/>
    </row>
    <row r="4580" customHeight="1" spans="1:6">
      <c r="A4580" s="331"/>
      <c r="B4580" s="332"/>
      <c r="C4580" s="331"/>
      <c r="D4580" s="331"/>
      <c r="E4580" s="331"/>
      <c r="F4580" s="331"/>
    </row>
    <row r="4581" customHeight="1" spans="1:6">
      <c r="A4581" s="331"/>
      <c r="B4581" s="332"/>
      <c r="C4581" s="331"/>
      <c r="D4581" s="331"/>
      <c r="E4581" s="331"/>
      <c r="F4581" s="331"/>
    </row>
    <row r="4582" customHeight="1" spans="1:6">
      <c r="A4582" s="331"/>
      <c r="B4582" s="332"/>
      <c r="C4582" s="331"/>
      <c r="D4582" s="331"/>
      <c r="E4582" s="331"/>
      <c r="F4582" s="331"/>
    </row>
    <row r="4583" customHeight="1" spans="1:6">
      <c r="A4583" s="331"/>
      <c r="B4583" s="332"/>
      <c r="C4583" s="331"/>
      <c r="D4583" s="331"/>
      <c r="E4583" s="331"/>
      <c r="F4583" s="331"/>
    </row>
    <row r="4584" customHeight="1" spans="1:6">
      <c r="A4584" s="331"/>
      <c r="B4584" s="332"/>
      <c r="C4584" s="331"/>
      <c r="D4584" s="331"/>
      <c r="E4584" s="331"/>
      <c r="F4584" s="331"/>
    </row>
    <row r="4585" customHeight="1" spans="1:6">
      <c r="A4585" s="331"/>
      <c r="B4585" s="332"/>
      <c r="C4585" s="331"/>
      <c r="D4585" s="331"/>
      <c r="E4585" s="331"/>
      <c r="F4585" s="331"/>
    </row>
    <row r="4586" customHeight="1" spans="1:6">
      <c r="A4586" s="331"/>
      <c r="B4586" s="332"/>
      <c r="C4586" s="331"/>
      <c r="D4586" s="331"/>
      <c r="E4586" s="331"/>
      <c r="F4586" s="331"/>
    </row>
    <row r="4587" customHeight="1" spans="1:6">
      <c r="A4587" s="111" t="s">
        <v>1307</v>
      </c>
      <c r="B4587" s="226"/>
      <c r="C4587" s="226"/>
      <c r="D4587" s="226"/>
      <c r="E4587" s="226"/>
      <c r="F4587" s="226"/>
    </row>
    <row r="4588" customHeight="1" spans="1:6">
      <c r="A4588" s="226" t="s">
        <v>1308</v>
      </c>
      <c r="B4588" s="226"/>
      <c r="C4588" s="226"/>
      <c r="D4588" s="226"/>
      <c r="E4588" s="226"/>
      <c r="F4588" s="226"/>
    </row>
    <row r="4589" customHeight="1" spans="1:6">
      <c r="A4589" s="227" t="s">
        <v>1309</v>
      </c>
      <c r="B4589" s="227"/>
      <c r="C4589" s="229"/>
      <c r="D4589" s="229"/>
      <c r="E4589" s="228" t="s">
        <v>946</v>
      </c>
      <c r="F4589" s="228"/>
    </row>
    <row r="4590" customHeight="1" spans="1:6">
      <c r="A4590" s="146" t="s">
        <v>959</v>
      </c>
      <c r="B4590" s="233"/>
      <c r="C4590" s="233"/>
      <c r="D4590" s="233"/>
      <c r="E4590" s="233"/>
      <c r="F4590" s="147"/>
    </row>
    <row r="4591" customHeight="1" spans="1:6">
      <c r="A4591" s="7" t="s">
        <v>104</v>
      </c>
      <c r="B4591" s="7" t="s">
        <v>835</v>
      </c>
      <c r="C4591" s="7" t="s">
        <v>159</v>
      </c>
      <c r="D4591" s="7" t="s">
        <v>422</v>
      </c>
      <c r="E4591" s="7" t="s">
        <v>160</v>
      </c>
      <c r="F4591" s="7" t="s">
        <v>18</v>
      </c>
    </row>
    <row r="4592" customHeight="1" spans="1:6">
      <c r="A4592" s="7" t="s">
        <v>1105</v>
      </c>
      <c r="B4592" s="7" t="s">
        <v>837</v>
      </c>
      <c r="C4592" s="7"/>
      <c r="D4592" s="7"/>
      <c r="E4592" s="7"/>
      <c r="F4592" s="34">
        <f>F4593+F4603+F4604</f>
        <v>14098.8216970867</v>
      </c>
    </row>
    <row r="4593" customHeight="1" spans="1:6">
      <c r="A4593" s="7" t="s">
        <v>539</v>
      </c>
      <c r="B4593" s="7" t="s">
        <v>838</v>
      </c>
      <c r="C4593" s="7"/>
      <c r="D4593" s="7"/>
      <c r="E4593" s="7"/>
      <c r="F4593" s="34">
        <f>F4594+F4597+F4601</f>
        <v>13453.0741384415</v>
      </c>
    </row>
    <row r="4594" customHeight="1" spans="1:6">
      <c r="A4594" s="7">
        <v>1</v>
      </c>
      <c r="B4594" s="7" t="s">
        <v>839</v>
      </c>
      <c r="C4594" s="7" t="s">
        <v>840</v>
      </c>
      <c r="D4594" s="69"/>
      <c r="E4594" s="42">
        <f>SUM(E4595:E4596)</f>
        <v>685.2</v>
      </c>
      <c r="F4594" s="69">
        <f>SUM(F4595:F4596)</f>
        <v>3985.525</v>
      </c>
    </row>
    <row r="4595" customHeight="1" spans="1:6">
      <c r="A4595" s="7"/>
      <c r="B4595" s="7" t="s">
        <v>841</v>
      </c>
      <c r="C4595" s="7" t="s">
        <v>840</v>
      </c>
      <c r="D4595" s="69">
        <f>D4557</f>
        <v>8.1</v>
      </c>
      <c r="E4595" s="42">
        <v>13.7</v>
      </c>
      <c r="F4595" s="69">
        <f>D4595*E4595</f>
        <v>110.97</v>
      </c>
    </row>
    <row r="4596" customHeight="1" spans="1:6">
      <c r="A4596" s="7"/>
      <c r="B4596" s="7" t="s">
        <v>842</v>
      </c>
      <c r="C4596" s="7" t="s">
        <v>840</v>
      </c>
      <c r="D4596" s="69">
        <f>D4558</f>
        <v>5.77</v>
      </c>
      <c r="E4596" s="42">
        <v>671.5</v>
      </c>
      <c r="F4596" s="69">
        <f>D4596*E4596</f>
        <v>3874.555</v>
      </c>
    </row>
    <row r="4597" customHeight="1" spans="1:6">
      <c r="A4597" s="7">
        <v>2</v>
      </c>
      <c r="B4597" s="7" t="s">
        <v>912</v>
      </c>
      <c r="C4597" s="279"/>
      <c r="D4597" s="7"/>
      <c r="E4597" s="7"/>
      <c r="F4597" s="69">
        <f>SUM(F4598:F4600)</f>
        <v>9067.6613592233</v>
      </c>
    </row>
    <row r="4598" customHeight="1" spans="1:6">
      <c r="A4598" s="7"/>
      <c r="B4598" s="7" t="s">
        <v>1310</v>
      </c>
      <c r="C4598" s="7" t="s">
        <v>200</v>
      </c>
      <c r="D4598" s="69">
        <f>310/(1+3%)</f>
        <v>300.970873786408</v>
      </c>
      <c r="E4598" s="7">
        <v>28.7</v>
      </c>
      <c r="F4598" s="69">
        <f>D4598*E4598</f>
        <v>8637.8640776699</v>
      </c>
    </row>
    <row r="4599" customHeight="1" spans="1:6">
      <c r="A4599" s="7"/>
      <c r="B4599" s="7" t="s">
        <v>1311</v>
      </c>
      <c r="C4599" s="7" t="s">
        <v>169</v>
      </c>
      <c r="D4599" s="7">
        <v>3</v>
      </c>
      <c r="E4599" s="7">
        <v>84</v>
      </c>
      <c r="F4599" s="69">
        <f>D4599*E4599</f>
        <v>252</v>
      </c>
    </row>
    <row r="4600" customHeight="1" spans="1:6">
      <c r="A4600" s="7"/>
      <c r="B4600" s="7" t="s">
        <v>952</v>
      </c>
      <c r="C4600" s="7" t="s">
        <v>845</v>
      </c>
      <c r="D4600" s="69">
        <f>SUM(F4598:F4599)</f>
        <v>8889.8640776699</v>
      </c>
      <c r="E4600" s="7">
        <v>2</v>
      </c>
      <c r="F4600" s="69">
        <f>D4600*E4600/100</f>
        <v>177.797281553398</v>
      </c>
    </row>
    <row r="4601" customHeight="1" spans="1:6">
      <c r="A4601" s="7">
        <v>3</v>
      </c>
      <c r="B4601" s="7" t="s">
        <v>859</v>
      </c>
      <c r="C4601" s="7"/>
      <c r="D4601" s="7"/>
      <c r="E4601" s="7"/>
      <c r="F4601" s="69">
        <f>SUM(F4602:F4602)</f>
        <v>399.887779218189</v>
      </c>
    </row>
    <row r="4602" customHeight="1" spans="1:6">
      <c r="A4602" s="7"/>
      <c r="B4602" s="7" t="s">
        <v>925</v>
      </c>
      <c r="C4602" s="7" t="s">
        <v>428</v>
      </c>
      <c r="D4602" s="69">
        <f>台时!H21</f>
        <v>18.5994315915437</v>
      </c>
      <c r="E4602" s="7">
        <v>21.5</v>
      </c>
      <c r="F4602" s="69">
        <f>D4602*E4602</f>
        <v>399.887779218189</v>
      </c>
    </row>
    <row r="4603" customHeight="1" spans="1:6">
      <c r="A4603" s="7" t="s">
        <v>564</v>
      </c>
      <c r="B4603" s="7" t="s">
        <v>846</v>
      </c>
      <c r="C4603" s="52">
        <f>取费表!C12</f>
        <v>0.048</v>
      </c>
      <c r="D4603" s="69"/>
      <c r="E4603" s="34">
        <f>F4593</f>
        <v>13453.0741384415</v>
      </c>
      <c r="F4603" s="69">
        <f>E4603*C4603</f>
        <v>645.747558645191</v>
      </c>
    </row>
    <row r="4604" customHeight="1" spans="1:6">
      <c r="A4604" s="7"/>
      <c r="B4604" s="7"/>
      <c r="C4604" s="53"/>
      <c r="D4604" s="69"/>
      <c r="E4604" s="34"/>
      <c r="F4604" s="69"/>
    </row>
    <row r="4605" customHeight="1" spans="1:6">
      <c r="A4605" s="7" t="s">
        <v>439</v>
      </c>
      <c r="B4605" s="7" t="s">
        <v>847</v>
      </c>
      <c r="C4605" s="53">
        <f>取费表!E12</f>
        <v>0.0725</v>
      </c>
      <c r="D4605" s="69"/>
      <c r="E4605" s="38">
        <f>F4592</f>
        <v>14098.8216970867</v>
      </c>
      <c r="F4605" s="69">
        <f>E4605*C4605</f>
        <v>1022.16457303878</v>
      </c>
    </row>
    <row r="4606" customHeight="1" spans="1:6">
      <c r="A4606" s="7" t="s">
        <v>83</v>
      </c>
      <c r="B4606" s="7" t="s">
        <v>848</v>
      </c>
      <c r="C4606" s="326">
        <f>取费表!F12</f>
        <v>0.05</v>
      </c>
      <c r="D4606" s="69"/>
      <c r="E4606" s="38">
        <f>F4605+F4592</f>
        <v>15120.9862701255</v>
      </c>
      <c r="F4606" s="69">
        <f>E4606*C4606</f>
        <v>756.049313506273</v>
      </c>
    </row>
    <row r="4607" customHeight="1" spans="1:6">
      <c r="A4607" s="7" t="s">
        <v>121</v>
      </c>
      <c r="B4607" s="7" t="s">
        <v>849</v>
      </c>
      <c r="C4607" s="53">
        <f>C4573</f>
        <v>0.09</v>
      </c>
      <c r="D4607" s="7"/>
      <c r="E4607" s="34">
        <f>F4606+F4605+F4592</f>
        <v>15877.0355836317</v>
      </c>
      <c r="F4607" s="69">
        <f>E4607*C4607</f>
        <v>1428.93320252686</v>
      </c>
    </row>
    <row r="4608" customHeight="1" spans="1:6">
      <c r="A4608" s="7"/>
      <c r="B4608" s="7" t="s">
        <v>850</v>
      </c>
      <c r="C4608" s="53"/>
      <c r="D4608" s="7"/>
      <c r="E4608" s="34"/>
      <c r="F4608" s="69">
        <f>(F4592+F4605+F4606+F4607)*取费表!H4</f>
        <v>519.179063584758</v>
      </c>
    </row>
    <row r="4609" customHeight="1" spans="1:6">
      <c r="A4609" s="7"/>
      <c r="B4609" s="7" t="s">
        <v>156</v>
      </c>
      <c r="C4609" s="7"/>
      <c r="D4609" s="7"/>
      <c r="E4609" s="7"/>
      <c r="F4609" s="69">
        <f>F4607+E4607+F4608</f>
        <v>17825.1478497433</v>
      </c>
    </row>
    <row r="4610" customHeight="1" spans="1:6">
      <c r="A4610" s="7"/>
      <c r="B4610" s="7"/>
      <c r="C4610" s="7"/>
      <c r="D4610" s="7"/>
      <c r="E4610" s="7"/>
      <c r="F4610" s="69"/>
    </row>
    <row r="4611" customHeight="1" spans="1:6">
      <c r="A4611" s="7"/>
      <c r="B4611" s="7"/>
      <c r="C4611" s="7"/>
      <c r="D4611" s="7"/>
      <c r="E4611" s="7"/>
      <c r="F4611" s="69"/>
    </row>
    <row r="4612" customHeight="1" spans="1:6">
      <c r="A4612" s="7"/>
      <c r="B4612" s="7"/>
      <c r="C4612" s="7"/>
      <c r="D4612" s="7"/>
      <c r="E4612" s="7"/>
      <c r="F4612" s="69"/>
    </row>
    <row r="4613" customHeight="1" spans="1:6">
      <c r="A4613" s="7"/>
      <c r="B4613" s="7"/>
      <c r="C4613" s="7"/>
      <c r="D4613" s="7"/>
      <c r="E4613" s="7"/>
      <c r="F4613" s="69"/>
    </row>
    <row r="4614" customHeight="1" spans="1:6">
      <c r="A4614" s="7"/>
      <c r="B4614" s="7"/>
      <c r="C4614" s="7"/>
      <c r="D4614" s="7"/>
      <c r="E4614" s="7"/>
      <c r="F4614" s="69"/>
    </row>
    <row r="4615" customHeight="1" spans="1:6">
      <c r="A4615" s="7"/>
      <c r="B4615" s="7"/>
      <c r="C4615" s="7"/>
      <c r="D4615" s="7"/>
      <c r="E4615" s="7"/>
      <c r="F4615" s="69"/>
    </row>
    <row r="4616" customHeight="1" spans="1:6">
      <c r="A4616" s="7"/>
      <c r="B4616" s="7"/>
      <c r="C4616" s="7"/>
      <c r="D4616" s="7"/>
      <c r="E4616" s="7"/>
      <c r="F4616" s="69"/>
    </row>
    <row r="4617" customHeight="1" spans="1:6">
      <c r="A4617" s="7"/>
      <c r="B4617" s="7"/>
      <c r="C4617" s="7"/>
      <c r="D4617" s="7"/>
      <c r="E4617" s="7"/>
      <c r="F4617" s="69"/>
    </row>
    <row r="4618" customHeight="1" spans="1:6">
      <c r="A4618" s="7"/>
      <c r="B4618" s="7"/>
      <c r="C4618" s="7"/>
      <c r="D4618" s="7"/>
      <c r="E4618" s="7"/>
      <c r="F4618" s="69"/>
    </row>
    <row r="4619" customHeight="1" spans="1:6">
      <c r="A4619" s="7"/>
      <c r="B4619" s="7"/>
      <c r="C4619" s="7"/>
      <c r="D4619" s="7"/>
      <c r="E4619" s="7"/>
      <c r="F4619" s="69"/>
    </row>
    <row r="4620" customHeight="1" spans="1:6">
      <c r="A4620" s="7"/>
      <c r="B4620" s="7"/>
      <c r="C4620" s="7"/>
      <c r="D4620" s="7"/>
      <c r="E4620" s="7"/>
      <c r="F4620" s="69"/>
    </row>
    <row r="4621" customHeight="1" spans="1:6">
      <c r="A4621" s="7"/>
      <c r="B4621" s="7"/>
      <c r="C4621" s="7"/>
      <c r="D4621" s="7"/>
      <c r="E4621" s="7"/>
      <c r="F4621" s="69"/>
    </row>
    <row r="4622" customHeight="1" spans="1:6">
      <c r="A4622" s="7"/>
      <c r="B4622" s="7"/>
      <c r="C4622" s="7"/>
      <c r="D4622" s="7"/>
      <c r="E4622" s="7"/>
      <c r="F4622" s="69"/>
    </row>
    <row r="4623" customHeight="1" spans="1:6">
      <c r="A4623" s="7"/>
      <c r="B4623" s="7"/>
      <c r="C4623" s="7"/>
      <c r="D4623" s="7"/>
      <c r="E4623" s="7"/>
      <c r="F4623" s="69"/>
    </row>
    <row r="4624" customHeight="1" spans="1:6">
      <c r="A4624" s="7"/>
      <c r="B4624" s="7"/>
      <c r="C4624" s="7"/>
      <c r="D4624" s="7"/>
      <c r="E4624" s="7"/>
      <c r="F4624" s="69"/>
    </row>
    <row r="4625" customHeight="1" spans="1:6">
      <c r="A4625" s="111" t="s">
        <v>1307</v>
      </c>
      <c r="B4625" s="226"/>
      <c r="C4625" s="226"/>
      <c r="D4625" s="226"/>
      <c r="E4625" s="226"/>
      <c r="F4625" s="226"/>
    </row>
    <row r="4626" customHeight="1" spans="1:6">
      <c r="A4626" s="226" t="s">
        <v>1312</v>
      </c>
      <c r="B4626" s="226"/>
      <c r="C4626" s="226"/>
      <c r="D4626" s="226"/>
      <c r="E4626" s="226"/>
      <c r="F4626" s="226"/>
    </row>
    <row r="4627" customHeight="1" spans="1:6">
      <c r="A4627" s="227" t="s">
        <v>1313</v>
      </c>
      <c r="B4627" s="227"/>
      <c r="C4627" s="229"/>
      <c r="D4627" s="229"/>
      <c r="E4627" s="228" t="s">
        <v>946</v>
      </c>
      <c r="F4627" s="228"/>
    </row>
    <row r="4628" customHeight="1" spans="1:6">
      <c r="A4628" s="146" t="s">
        <v>959</v>
      </c>
      <c r="B4628" s="233"/>
      <c r="C4628" s="233"/>
      <c r="D4628" s="233"/>
      <c r="E4628" s="233"/>
      <c r="F4628" s="147"/>
    </row>
    <row r="4629" customHeight="1" spans="1:6">
      <c r="A4629" s="7" t="s">
        <v>104</v>
      </c>
      <c r="B4629" s="7" t="s">
        <v>835</v>
      </c>
      <c r="C4629" s="7" t="s">
        <v>159</v>
      </c>
      <c r="D4629" s="7" t="s">
        <v>422</v>
      </c>
      <c r="E4629" s="7" t="s">
        <v>160</v>
      </c>
      <c r="F4629" s="7" t="s">
        <v>18</v>
      </c>
    </row>
    <row r="4630" customHeight="1" spans="1:6">
      <c r="A4630" s="7" t="s">
        <v>1105</v>
      </c>
      <c r="B4630" s="7" t="s">
        <v>837</v>
      </c>
      <c r="C4630" s="7"/>
      <c r="D4630" s="7"/>
      <c r="E4630" s="7"/>
      <c r="F4630" s="34">
        <f>F4631+F4641+F4642</f>
        <v>14606.1629480255</v>
      </c>
    </row>
    <row r="4631" customHeight="1" spans="1:6">
      <c r="A4631" s="7" t="s">
        <v>539</v>
      </c>
      <c r="B4631" s="7" t="s">
        <v>838</v>
      </c>
      <c r="C4631" s="7"/>
      <c r="D4631" s="7"/>
      <c r="E4631" s="7"/>
      <c r="F4631" s="34">
        <f>F4632+F4635+F4639</f>
        <v>13937.1783855205</v>
      </c>
    </row>
    <row r="4632" customHeight="1" spans="1:6">
      <c r="A4632" s="7">
        <v>1</v>
      </c>
      <c r="B4632" s="7" t="s">
        <v>839</v>
      </c>
      <c r="C4632" s="7" t="s">
        <v>840</v>
      </c>
      <c r="D4632" s="69"/>
      <c r="E4632" s="42">
        <f>SUM(E4633:E4634)</f>
        <v>685.2</v>
      </c>
      <c r="F4632" s="69">
        <f>SUM(F4633:F4634)</f>
        <v>3985.525</v>
      </c>
    </row>
    <row r="4633" customHeight="1" spans="1:6">
      <c r="A4633" s="7"/>
      <c r="B4633" s="7" t="s">
        <v>841</v>
      </c>
      <c r="C4633" s="7" t="s">
        <v>840</v>
      </c>
      <c r="D4633" s="69">
        <f>D4595</f>
        <v>8.1</v>
      </c>
      <c r="E4633" s="42">
        <v>13.7</v>
      </c>
      <c r="F4633" s="69">
        <f>D4633*E4633</f>
        <v>110.97</v>
      </c>
    </row>
    <row r="4634" customHeight="1" spans="1:6">
      <c r="A4634" s="7"/>
      <c r="B4634" s="7" t="s">
        <v>842</v>
      </c>
      <c r="C4634" s="7" t="s">
        <v>840</v>
      </c>
      <c r="D4634" s="69">
        <f>D4596</f>
        <v>5.77</v>
      </c>
      <c r="E4634" s="42">
        <v>671.5</v>
      </c>
      <c r="F4634" s="69">
        <f>D4634*E4634</f>
        <v>3874.555</v>
      </c>
    </row>
    <row r="4635" customHeight="1" spans="1:6">
      <c r="A4635" s="7">
        <v>2</v>
      </c>
      <c r="B4635" s="7" t="s">
        <v>912</v>
      </c>
      <c r="C4635" s="279"/>
      <c r="D4635" s="7"/>
      <c r="E4635" s="7"/>
      <c r="F4635" s="69">
        <f>SUM(F4636:F4638)</f>
        <v>8949.888</v>
      </c>
    </row>
    <row r="4636" customHeight="1" spans="1:6">
      <c r="A4636" s="7"/>
      <c r="B4636" s="7" t="s">
        <v>979</v>
      </c>
      <c r="C4636" s="7" t="s">
        <v>200</v>
      </c>
      <c r="D4636" s="69">
        <f>材料预算价!L5</f>
        <v>255</v>
      </c>
      <c r="E4636" s="7">
        <v>33.3</v>
      </c>
      <c r="F4636" s="69">
        <f>D4636*E4636</f>
        <v>8491.5</v>
      </c>
    </row>
    <row r="4637" customHeight="1" spans="1:6">
      <c r="A4637" s="7"/>
      <c r="B4637" s="7" t="s">
        <v>1311</v>
      </c>
      <c r="C4637" s="7" t="s">
        <v>169</v>
      </c>
      <c r="D4637" s="42">
        <v>3</v>
      </c>
      <c r="E4637" s="7">
        <v>94.3</v>
      </c>
      <c r="F4637" s="69">
        <f>D4637*E4637</f>
        <v>282.9</v>
      </c>
    </row>
    <row r="4638" customHeight="1" spans="1:10">
      <c r="A4638" s="7"/>
      <c r="B4638" s="7" t="s">
        <v>952</v>
      </c>
      <c r="C4638" s="7" t="s">
        <v>845</v>
      </c>
      <c r="D4638" s="69">
        <f>SUM(F4636:F4637)</f>
        <v>8774.4</v>
      </c>
      <c r="E4638" s="7">
        <v>2</v>
      </c>
      <c r="F4638" s="69">
        <f>D4638*E4638/100</f>
        <v>175.488</v>
      </c>
      <c r="J4638" s="223">
        <f>40/0.18</f>
        <v>222.222222222222</v>
      </c>
    </row>
    <row r="4639" customHeight="1" spans="1:6">
      <c r="A4639" s="7">
        <v>3</v>
      </c>
      <c r="B4639" s="7" t="s">
        <v>859</v>
      </c>
      <c r="C4639" s="7"/>
      <c r="D4639" s="7"/>
      <c r="E4639" s="7"/>
      <c r="F4639" s="69">
        <f>SUM(F4640:F4640)</f>
        <v>1001.76538552054</v>
      </c>
    </row>
    <row r="4640" customHeight="1" spans="1:6">
      <c r="A4640" s="7"/>
      <c r="B4640" s="7" t="s">
        <v>925</v>
      </c>
      <c r="C4640" s="7" t="s">
        <v>428</v>
      </c>
      <c r="D4640" s="69">
        <f>D4602</f>
        <v>18.5994315915437</v>
      </c>
      <c r="E4640" s="7">
        <v>53.86</v>
      </c>
      <c r="F4640" s="69">
        <f>D4640*E4640</f>
        <v>1001.76538552054</v>
      </c>
    </row>
    <row r="4641" customHeight="1" spans="1:6">
      <c r="A4641" s="7" t="s">
        <v>564</v>
      </c>
      <c r="B4641" s="7" t="s">
        <v>846</v>
      </c>
      <c r="C4641" s="52">
        <f>取费表!C12</f>
        <v>0.048</v>
      </c>
      <c r="D4641" s="69"/>
      <c r="E4641" s="34">
        <f>F4631</f>
        <v>13937.1783855205</v>
      </c>
      <c r="F4641" s="69">
        <f>E4641*C4641</f>
        <v>668.984562504986</v>
      </c>
    </row>
    <row r="4642" customHeight="1" spans="1:6">
      <c r="A4642" s="7"/>
      <c r="B4642" s="7"/>
      <c r="C4642" s="53"/>
      <c r="D4642" s="69"/>
      <c r="E4642" s="34"/>
      <c r="F4642" s="69"/>
    </row>
    <row r="4643" customHeight="1" spans="1:6">
      <c r="A4643" s="7" t="s">
        <v>439</v>
      </c>
      <c r="B4643" s="7" t="s">
        <v>847</v>
      </c>
      <c r="C4643" s="53">
        <f>取费表!E12</f>
        <v>0.0725</v>
      </c>
      <c r="D4643" s="69"/>
      <c r="E4643" s="38">
        <f>F4630</f>
        <v>14606.1629480255</v>
      </c>
      <c r="F4643" s="69">
        <f>E4643*C4643</f>
        <v>1058.94681373185</v>
      </c>
    </row>
    <row r="4644" customHeight="1" spans="1:6">
      <c r="A4644" s="7" t="s">
        <v>83</v>
      </c>
      <c r="B4644" s="7" t="s">
        <v>848</v>
      </c>
      <c r="C4644" s="326">
        <f>取费表!F12</f>
        <v>0.05</v>
      </c>
      <c r="D4644" s="69"/>
      <c r="E4644" s="38">
        <f>F4643+F4630</f>
        <v>15665.1097617574</v>
      </c>
      <c r="F4644" s="69">
        <f>E4644*C4644</f>
        <v>783.255488087869</v>
      </c>
    </row>
    <row r="4645" customHeight="1" spans="1:6">
      <c r="A4645" s="7" t="s">
        <v>121</v>
      </c>
      <c r="B4645" s="7" t="s">
        <v>861</v>
      </c>
      <c r="C4645" s="7"/>
      <c r="D4645" s="7"/>
      <c r="E4645" s="7"/>
      <c r="F4645" s="69">
        <f>F4646</f>
        <v>4714.925688</v>
      </c>
    </row>
    <row r="4646" customHeight="1" spans="1:6">
      <c r="A4646" s="7"/>
      <c r="B4646" s="7" t="s">
        <v>979</v>
      </c>
      <c r="C4646" s="7" t="s">
        <v>169</v>
      </c>
      <c r="D4646" s="34">
        <f>材料预算价!K5-材料预算价!L5</f>
        <v>141.58936</v>
      </c>
      <c r="E4646" s="38">
        <f>E4636</f>
        <v>33.3</v>
      </c>
      <c r="F4646" s="69">
        <f>E4646*D4646</f>
        <v>4714.925688</v>
      </c>
    </row>
    <row r="4647" customHeight="1" spans="1:6">
      <c r="A4647" s="7" t="s">
        <v>135</v>
      </c>
      <c r="B4647" s="7" t="s">
        <v>849</v>
      </c>
      <c r="C4647" s="53">
        <f>取费表!G12</f>
        <v>0.09</v>
      </c>
      <c r="D4647" s="7"/>
      <c r="E4647" s="34">
        <f>F4644+F4643+F4630+F4645</f>
        <v>21163.2909378452</v>
      </c>
      <c r="F4647" s="69">
        <f>E4647*C4647</f>
        <v>1904.69618440607</v>
      </c>
    </row>
    <row r="4648" customHeight="1" spans="1:6">
      <c r="A4648" s="7"/>
      <c r="B4648" s="7" t="s">
        <v>850</v>
      </c>
      <c r="C4648" s="53"/>
      <c r="D4648" s="7"/>
      <c r="E4648" s="34"/>
      <c r="F4648" s="69">
        <f>(E4647+F4647)*取费表!H4</f>
        <v>692.039613667539</v>
      </c>
    </row>
    <row r="4649" customHeight="1" spans="1:6">
      <c r="A4649" s="7"/>
      <c r="B4649" s="7" t="s">
        <v>156</v>
      </c>
      <c r="C4649" s="7"/>
      <c r="D4649" s="7"/>
      <c r="E4649" s="7"/>
      <c r="F4649" s="69">
        <f>F4647+E4647+F4648</f>
        <v>23760.0267359188</v>
      </c>
    </row>
    <row r="4650" customHeight="1" spans="1:6">
      <c r="A4650" s="7"/>
      <c r="B4650" s="7"/>
      <c r="C4650" s="7"/>
      <c r="D4650" s="7"/>
      <c r="E4650" s="7"/>
      <c r="F4650" s="69"/>
    </row>
    <row r="4651" customHeight="1" spans="1:6">
      <c r="A4651" s="7"/>
      <c r="B4651" s="7"/>
      <c r="C4651" s="7"/>
      <c r="D4651" s="7"/>
      <c r="E4651" s="7"/>
      <c r="F4651" s="69"/>
    </row>
    <row r="4652" customHeight="1" spans="1:6">
      <c r="A4652" s="7"/>
      <c r="B4652" s="7"/>
      <c r="C4652" s="7"/>
      <c r="D4652" s="7"/>
      <c r="E4652" s="7"/>
      <c r="F4652" s="69"/>
    </row>
    <row r="4653" customHeight="1" spans="1:6">
      <c r="A4653" s="7"/>
      <c r="B4653" s="7"/>
      <c r="C4653" s="7"/>
      <c r="D4653" s="7"/>
      <c r="E4653" s="7"/>
      <c r="F4653" s="69"/>
    </row>
    <row r="4654" customHeight="1" spans="1:6">
      <c r="A4654" s="7"/>
      <c r="B4654" s="7"/>
      <c r="C4654" s="7"/>
      <c r="D4654" s="7"/>
      <c r="E4654" s="7"/>
      <c r="F4654" s="69"/>
    </row>
    <row r="4655" customHeight="1" spans="1:6">
      <c r="A4655" s="7"/>
      <c r="B4655" s="7"/>
      <c r="C4655" s="7"/>
      <c r="D4655" s="7"/>
      <c r="E4655" s="7"/>
      <c r="F4655" s="69"/>
    </row>
    <row r="4656" customHeight="1" spans="1:6">
      <c r="A4656" s="7"/>
      <c r="B4656" s="7"/>
      <c r="C4656" s="7"/>
      <c r="D4656" s="7"/>
      <c r="E4656" s="7"/>
      <c r="F4656" s="69"/>
    </row>
    <row r="4657" customHeight="1" spans="1:6">
      <c r="A4657" s="7"/>
      <c r="B4657" s="7"/>
      <c r="C4657" s="7"/>
      <c r="D4657" s="7"/>
      <c r="E4657" s="7"/>
      <c r="F4657" s="69"/>
    </row>
    <row r="4658" customHeight="1" spans="1:6">
      <c r="A4658" s="7"/>
      <c r="B4658" s="7"/>
      <c r="C4658" s="7"/>
      <c r="D4658" s="7"/>
      <c r="E4658" s="7"/>
      <c r="F4658" s="69"/>
    </row>
    <row r="4659" customHeight="1" spans="1:6">
      <c r="A4659" s="7"/>
      <c r="B4659" s="7"/>
      <c r="C4659" s="7"/>
      <c r="D4659" s="7"/>
      <c r="E4659" s="7"/>
      <c r="F4659" s="69"/>
    </row>
    <row r="4660" customHeight="1" spans="1:6">
      <c r="A4660" s="7"/>
      <c r="B4660" s="7"/>
      <c r="C4660" s="7"/>
      <c r="D4660" s="7"/>
      <c r="E4660" s="7"/>
      <c r="F4660" s="69"/>
    </row>
    <row r="4661" customHeight="1" spans="1:6">
      <c r="A4661" s="7"/>
      <c r="B4661" s="7"/>
      <c r="C4661" s="7"/>
      <c r="D4661" s="7"/>
      <c r="E4661" s="7"/>
      <c r="F4661" s="69"/>
    </row>
    <row r="4662" customHeight="1" spans="1:6">
      <c r="A4662" s="7"/>
      <c r="B4662" s="7"/>
      <c r="C4662" s="7"/>
      <c r="D4662" s="7"/>
      <c r="E4662" s="7"/>
      <c r="F4662" s="69"/>
    </row>
    <row r="4663" customHeight="1" spans="1:6">
      <c r="A4663" s="224" t="s">
        <v>828</v>
      </c>
      <c r="B4663" s="225"/>
      <c r="C4663" s="225"/>
      <c r="D4663" s="225"/>
      <c r="E4663" s="225"/>
      <c r="F4663" s="225"/>
    </row>
    <row r="4664" customHeight="1" spans="1:6">
      <c r="A4664" s="296" t="s">
        <v>1314</v>
      </c>
      <c r="B4664" s="296"/>
      <c r="C4664" s="296"/>
      <c r="D4664" s="296"/>
      <c r="E4664" s="296"/>
      <c r="F4664" s="296"/>
    </row>
    <row r="4665" customHeight="1" spans="1:6">
      <c r="A4665" s="270" t="s">
        <v>1315</v>
      </c>
      <c r="B4665" s="228"/>
      <c r="C4665" s="229"/>
      <c r="D4665" s="229"/>
      <c r="E4665" s="228" t="s">
        <v>832</v>
      </c>
      <c r="F4665" s="228"/>
    </row>
    <row r="4666" customHeight="1" spans="1:6">
      <c r="A4666" s="232" t="s">
        <v>911</v>
      </c>
      <c r="B4666" s="233" t="s">
        <v>1316</v>
      </c>
      <c r="C4666" s="233"/>
      <c r="D4666" s="233"/>
      <c r="E4666" s="233"/>
      <c r="F4666" s="147"/>
    </row>
    <row r="4667" customHeight="1" spans="1:6">
      <c r="A4667" s="7" t="s">
        <v>104</v>
      </c>
      <c r="B4667" s="7" t="s">
        <v>835</v>
      </c>
      <c r="C4667" s="7" t="s">
        <v>159</v>
      </c>
      <c r="D4667" s="7" t="s">
        <v>422</v>
      </c>
      <c r="E4667" s="7" t="s">
        <v>160</v>
      </c>
      <c r="F4667" s="7" t="s">
        <v>18</v>
      </c>
    </row>
    <row r="4668" customHeight="1" spans="1:6">
      <c r="A4668" s="7" t="s">
        <v>836</v>
      </c>
      <c r="B4668" s="7" t="s">
        <v>837</v>
      </c>
      <c r="C4668" s="7"/>
      <c r="D4668" s="7"/>
      <c r="E4668" s="7"/>
      <c r="F4668" s="34">
        <f>F4669+F4679+F4680</f>
        <v>17512.5567030685</v>
      </c>
    </row>
    <row r="4669" customHeight="1" spans="1:6">
      <c r="A4669" s="7" t="s">
        <v>539</v>
      </c>
      <c r="B4669" s="7" t="s">
        <v>838</v>
      </c>
      <c r="C4669" s="7"/>
      <c r="D4669" s="7"/>
      <c r="E4669" s="7"/>
      <c r="F4669" s="34">
        <f>F4670+F4673+F4677</f>
        <v>16710.4548693402</v>
      </c>
    </row>
    <row r="4670" customHeight="1" spans="1:6">
      <c r="A4670" s="7">
        <v>1</v>
      </c>
      <c r="B4670" s="7" t="s">
        <v>839</v>
      </c>
      <c r="C4670" s="7" t="s">
        <v>840</v>
      </c>
      <c r="D4670" s="69"/>
      <c r="E4670" s="42">
        <f>SUM(E4671:E4672)</f>
        <v>579.1</v>
      </c>
      <c r="F4670" s="69">
        <f>SUM(F4671:F4672)</f>
        <v>3799.485</v>
      </c>
    </row>
    <row r="4671" customHeight="1" spans="1:6">
      <c r="A4671" s="7"/>
      <c r="B4671" s="7" t="s">
        <v>841</v>
      </c>
      <c r="C4671" s="7" t="s">
        <v>840</v>
      </c>
      <c r="D4671" s="69">
        <f>D4633</f>
        <v>8.1</v>
      </c>
      <c r="E4671" s="42">
        <v>196.6</v>
      </c>
      <c r="F4671" s="69">
        <f>D4671*E4671</f>
        <v>1592.46</v>
      </c>
    </row>
    <row r="4672" customHeight="1" spans="1:9">
      <c r="A4672" s="7"/>
      <c r="B4672" s="7" t="s">
        <v>842</v>
      </c>
      <c r="C4672" s="7" t="s">
        <v>840</v>
      </c>
      <c r="D4672" s="69">
        <f>D4634</f>
        <v>5.77</v>
      </c>
      <c r="E4672" s="42">
        <v>382.5</v>
      </c>
      <c r="F4672" s="69">
        <f>D4672*E4672</f>
        <v>2207.025</v>
      </c>
      <c r="H4672" s="223">
        <f>2*2*2+2*0.3*2+2*0.3*2+2*0.3</f>
        <v>11</v>
      </c>
      <c r="I4672" s="223">
        <f>2*2*0.3</f>
        <v>1.2</v>
      </c>
    </row>
    <row r="4673" customHeight="1" spans="1:8">
      <c r="A4673" s="7">
        <v>2</v>
      </c>
      <c r="B4673" s="7" t="s">
        <v>1254</v>
      </c>
      <c r="C4673" s="9"/>
      <c r="D4673" s="38"/>
      <c r="E4673" s="38"/>
      <c r="F4673" s="38">
        <f>SUM(F4674:F4676)</f>
        <v>12847.2929487179</v>
      </c>
      <c r="H4673" s="223">
        <f>H4672/I4672</f>
        <v>9.16666666666667</v>
      </c>
    </row>
    <row r="4674" customHeight="1" spans="1:6">
      <c r="A4674" s="7"/>
      <c r="B4674" s="336" t="s">
        <v>1317</v>
      </c>
      <c r="C4674" s="39" t="s">
        <v>1318</v>
      </c>
      <c r="D4674" s="38">
        <v>70</v>
      </c>
      <c r="E4674" s="38">
        <v>116</v>
      </c>
      <c r="F4674" s="38">
        <f>D4674*E4674</f>
        <v>8120</v>
      </c>
    </row>
    <row r="4675" customHeight="1" spans="1:6">
      <c r="A4675" s="7"/>
      <c r="B4675" s="336" t="s">
        <v>1319</v>
      </c>
      <c r="C4675" s="39" t="s">
        <v>1320</v>
      </c>
      <c r="D4675" s="38">
        <f>5.95/1.17</f>
        <v>5.08547008547009</v>
      </c>
      <c r="E4675" s="38">
        <v>917</v>
      </c>
      <c r="F4675" s="38">
        <f>D4675*E4675</f>
        <v>4663.37606837607</v>
      </c>
    </row>
    <row r="4676" customHeight="1" spans="1:6">
      <c r="A4676" s="7"/>
      <c r="B4676" s="7" t="s">
        <v>1004</v>
      </c>
      <c r="C4676" s="9" t="s">
        <v>845</v>
      </c>
      <c r="D4676" s="38">
        <f>F4674+F4675</f>
        <v>12783.3760683761</v>
      </c>
      <c r="E4676" s="38">
        <v>0.5</v>
      </c>
      <c r="F4676" s="38">
        <f>D4676*E4676/100</f>
        <v>63.9168803418804</v>
      </c>
    </row>
    <row r="4677" customHeight="1" spans="1:6">
      <c r="A4677" s="7">
        <v>3</v>
      </c>
      <c r="B4677" s="7" t="s">
        <v>843</v>
      </c>
      <c r="C4677" s="9"/>
      <c r="D4677" s="38"/>
      <c r="E4677" s="38"/>
      <c r="F4677" s="38">
        <f>F4678</f>
        <v>63.6769206222577</v>
      </c>
    </row>
    <row r="4678" customHeight="1" spans="1:6">
      <c r="A4678" s="7"/>
      <c r="B4678" s="39" t="s">
        <v>1321</v>
      </c>
      <c r="C4678" s="7" t="s">
        <v>428</v>
      </c>
      <c r="D4678" s="38">
        <f>台时!C42</f>
        <v>0.813242919824491</v>
      </c>
      <c r="E4678" s="38">
        <v>78.3</v>
      </c>
      <c r="F4678" s="38">
        <f>D4678*E4678</f>
        <v>63.6769206222577</v>
      </c>
    </row>
    <row r="4679" customHeight="1" spans="1:6">
      <c r="A4679" s="7" t="s">
        <v>564</v>
      </c>
      <c r="B4679" s="7" t="s">
        <v>846</v>
      </c>
      <c r="C4679" s="337">
        <f>取费表!C6</f>
        <v>0.048</v>
      </c>
      <c r="D4679" s="38"/>
      <c r="E4679" s="38">
        <f>F4669</f>
        <v>16710.4548693402</v>
      </c>
      <c r="F4679" s="38">
        <f>E4679*C4679</f>
        <v>802.10183372833</v>
      </c>
    </row>
    <row r="4680" customHeight="1" spans="1:6">
      <c r="A4680" s="7"/>
      <c r="B4680" s="7"/>
      <c r="C4680" s="337"/>
      <c r="D4680" s="38"/>
      <c r="E4680" s="38"/>
      <c r="F4680" s="38"/>
    </row>
    <row r="4681" customHeight="1" spans="1:6">
      <c r="A4681" s="7" t="s">
        <v>439</v>
      </c>
      <c r="B4681" s="7" t="s">
        <v>847</v>
      </c>
      <c r="C4681" s="337">
        <f>取费表!E6</f>
        <v>0.085</v>
      </c>
      <c r="D4681" s="38"/>
      <c r="E4681" s="38">
        <f>F4668</f>
        <v>17512.5567030685</v>
      </c>
      <c r="F4681" s="38">
        <f>E4681*C4681</f>
        <v>1488.56731976083</v>
      </c>
    </row>
    <row r="4682" customHeight="1" spans="1:6">
      <c r="A4682" s="7" t="s">
        <v>83</v>
      </c>
      <c r="B4682" s="7" t="s">
        <v>848</v>
      </c>
      <c r="C4682" s="337">
        <f>取费表!F6</f>
        <v>0.07</v>
      </c>
      <c r="D4682" s="38"/>
      <c r="E4682" s="38">
        <f>F4681+F4668</f>
        <v>19001.1240228294</v>
      </c>
      <c r="F4682" s="38">
        <f>E4682*C4682</f>
        <v>1330.07868159806</v>
      </c>
    </row>
    <row r="4683" customHeight="1" spans="1:6">
      <c r="A4683" s="7" t="s">
        <v>121</v>
      </c>
      <c r="B4683" s="7" t="s">
        <v>861</v>
      </c>
      <c r="C4683" s="7"/>
      <c r="D4683" s="38"/>
      <c r="E4683" s="38"/>
      <c r="F4683" s="38">
        <f>F4684+F4685</f>
        <v>13823.1368716239</v>
      </c>
    </row>
    <row r="4684" customHeight="1" spans="1:6">
      <c r="A4684" s="7"/>
      <c r="B4684" s="7" t="s">
        <v>1322</v>
      </c>
      <c r="C4684" s="7" t="s">
        <v>169</v>
      </c>
      <c r="D4684" s="38">
        <f>材料预算价!K15-70</f>
        <v>3.32234</v>
      </c>
      <c r="E4684" s="38">
        <f>E4674</f>
        <v>116</v>
      </c>
      <c r="F4684" s="38">
        <f>E4684*D4684</f>
        <v>385.39144</v>
      </c>
    </row>
    <row r="4685" customHeight="1" spans="1:6">
      <c r="A4685" s="7"/>
      <c r="B4685" s="336" t="s">
        <v>1323</v>
      </c>
      <c r="C4685" s="39" t="s">
        <v>1320</v>
      </c>
      <c r="D4685" s="338">
        <f>材料预算价!K23-D4675</f>
        <v>14.6540299145299</v>
      </c>
      <c r="E4685" s="38">
        <f>E4675</f>
        <v>917</v>
      </c>
      <c r="F4685" s="38">
        <f>D4685*E4685</f>
        <v>13437.7454316239</v>
      </c>
    </row>
    <row r="4686" customHeight="1" spans="1:6">
      <c r="A4686" s="7" t="s">
        <v>135</v>
      </c>
      <c r="B4686" s="7" t="s">
        <v>849</v>
      </c>
      <c r="C4686" s="231">
        <f>取费表!G6</f>
        <v>0.09</v>
      </c>
      <c r="D4686" s="38"/>
      <c r="E4686" s="34">
        <f>F4683+F4682+F4681+F4668</f>
        <v>34154.3395760513</v>
      </c>
      <c r="F4686" s="38">
        <f>E4686*C4686</f>
        <v>3073.89056184462</v>
      </c>
    </row>
    <row r="4687" customHeight="1" spans="1:6">
      <c r="A4687" s="7"/>
      <c r="B4687" s="7" t="s">
        <v>850</v>
      </c>
      <c r="C4687" s="231"/>
      <c r="D4687" s="38"/>
      <c r="E4687" s="34"/>
      <c r="F4687" s="38">
        <f>(E4686+F4686)*取费表!H12</f>
        <v>1116.84690413688</v>
      </c>
    </row>
    <row r="4688" customHeight="1" spans="1:6">
      <c r="A4688" s="7"/>
      <c r="B4688" s="7" t="s">
        <v>156</v>
      </c>
      <c r="C4688" s="7"/>
      <c r="D4688" s="38"/>
      <c r="E4688" s="38"/>
      <c r="F4688" s="338">
        <f>F4686+E4686+F4687</f>
        <v>38345.0770420328</v>
      </c>
    </row>
    <row r="4689" customHeight="1" spans="1:6">
      <c r="A4689" s="7"/>
      <c r="B4689" s="7"/>
      <c r="C4689" s="7"/>
      <c r="D4689" s="38"/>
      <c r="E4689" s="38"/>
      <c r="F4689" s="38"/>
    </row>
    <row r="4690" customHeight="1" spans="1:6">
      <c r="A4690" s="7"/>
      <c r="B4690" s="7"/>
      <c r="C4690" s="7"/>
      <c r="D4690" s="38"/>
      <c r="E4690" s="38"/>
      <c r="F4690" s="38"/>
    </row>
    <row r="4691" customHeight="1" spans="1:6">
      <c r="A4691" s="7"/>
      <c r="B4691" s="7"/>
      <c r="C4691" s="7"/>
      <c r="D4691" s="38"/>
      <c r="E4691" s="38"/>
      <c r="F4691" s="38"/>
    </row>
    <row r="4692" customHeight="1" spans="1:6">
      <c r="A4692" s="7"/>
      <c r="B4692" s="7"/>
      <c r="C4692" s="7"/>
      <c r="D4692" s="38"/>
      <c r="E4692" s="38"/>
      <c r="F4692" s="38"/>
    </row>
    <row r="4693" customHeight="1" spans="1:6">
      <c r="A4693" s="7"/>
      <c r="B4693" s="7"/>
      <c r="C4693" s="7"/>
      <c r="D4693" s="38"/>
      <c r="E4693" s="38"/>
      <c r="F4693" s="38"/>
    </row>
    <row r="4694" customHeight="1" spans="1:6">
      <c r="A4694" s="7"/>
      <c r="B4694" s="7"/>
      <c r="C4694" s="7"/>
      <c r="D4694" s="38"/>
      <c r="E4694" s="38"/>
      <c r="F4694" s="38"/>
    </row>
    <row r="4695" customHeight="1" spans="1:6">
      <c r="A4695" s="7"/>
      <c r="B4695" s="7"/>
      <c r="C4695" s="7"/>
      <c r="D4695" s="38"/>
      <c r="E4695" s="38"/>
      <c r="F4695" s="38"/>
    </row>
    <row r="4696" customHeight="1" spans="1:6">
      <c r="A4696" s="7"/>
      <c r="B4696" s="7"/>
      <c r="C4696" s="7"/>
      <c r="D4696" s="38"/>
      <c r="E4696" s="38"/>
      <c r="F4696" s="38"/>
    </row>
    <row r="4697" customHeight="1" spans="1:6">
      <c r="A4697" s="7"/>
      <c r="B4697" s="7"/>
      <c r="C4697" s="7"/>
      <c r="D4697" s="38"/>
      <c r="E4697" s="38"/>
      <c r="F4697" s="38"/>
    </row>
    <row r="4698" customHeight="1" spans="1:6">
      <c r="A4698" s="7"/>
      <c r="B4698" s="7"/>
      <c r="C4698" s="7"/>
      <c r="D4698" s="38"/>
      <c r="E4698" s="38"/>
      <c r="F4698" s="38"/>
    </row>
    <row r="4699" customHeight="1" spans="1:6">
      <c r="A4699" s="7"/>
      <c r="B4699" s="7"/>
      <c r="C4699" s="7"/>
      <c r="D4699" s="38"/>
      <c r="E4699" s="38"/>
      <c r="F4699" s="38"/>
    </row>
    <row r="4700" customHeight="1" spans="1:6">
      <c r="A4700" s="7"/>
      <c r="B4700" s="7"/>
      <c r="C4700" s="7"/>
      <c r="D4700" s="38"/>
      <c r="E4700" s="38"/>
      <c r="F4700" s="38"/>
    </row>
    <row r="4701" customHeight="1" spans="1:6">
      <c r="A4701" s="224" t="s">
        <v>828</v>
      </c>
      <c r="B4701" s="225"/>
      <c r="C4701" s="225"/>
      <c r="D4701" s="225"/>
      <c r="E4701" s="225"/>
      <c r="F4701" s="225"/>
    </row>
    <row r="4702" customHeight="1" spans="1:6">
      <c r="A4702" s="296" t="s">
        <v>1314</v>
      </c>
      <c r="B4702" s="296"/>
      <c r="C4702" s="296"/>
      <c r="D4702" s="296"/>
      <c r="E4702" s="296"/>
      <c r="F4702" s="296"/>
    </row>
    <row r="4703" customHeight="1" spans="1:6">
      <c r="A4703" s="270" t="s">
        <v>1315</v>
      </c>
      <c r="B4703" s="228"/>
      <c r="C4703" s="229"/>
      <c r="D4703" s="229"/>
      <c r="E4703" s="228" t="s">
        <v>832</v>
      </c>
      <c r="F4703" s="228"/>
    </row>
    <row r="4704" customHeight="1" spans="1:6">
      <c r="A4704" s="232" t="s">
        <v>911</v>
      </c>
      <c r="B4704" s="233" t="s">
        <v>1324</v>
      </c>
      <c r="C4704" s="233"/>
      <c r="D4704" s="233"/>
      <c r="E4704" s="233"/>
      <c r="F4704" s="147"/>
    </row>
    <row r="4705" customHeight="1" spans="1:6">
      <c r="A4705" s="7" t="s">
        <v>104</v>
      </c>
      <c r="B4705" s="7" t="s">
        <v>835</v>
      </c>
      <c r="C4705" s="7" t="s">
        <v>159</v>
      </c>
      <c r="D4705" s="7" t="s">
        <v>422</v>
      </c>
      <c r="E4705" s="7" t="s">
        <v>160</v>
      </c>
      <c r="F4705" s="7" t="s">
        <v>18</v>
      </c>
    </row>
    <row r="4706" customHeight="1" spans="1:6">
      <c r="A4706" s="7" t="s">
        <v>836</v>
      </c>
      <c r="B4706" s="7" t="s">
        <v>837</v>
      </c>
      <c r="C4706" s="7"/>
      <c r="D4706" s="7"/>
      <c r="E4706" s="7"/>
      <c r="F4706" s="34">
        <f>F4707+F4717+F4718</f>
        <v>16618.0678774275</v>
      </c>
    </row>
    <row r="4707" customHeight="1" spans="1:6">
      <c r="A4707" s="7" t="s">
        <v>539</v>
      </c>
      <c r="B4707" s="7" t="s">
        <v>838</v>
      </c>
      <c r="C4707" s="7"/>
      <c r="D4707" s="7"/>
      <c r="E4707" s="7"/>
      <c r="F4707" s="34">
        <f>F4708+F4711+F4715</f>
        <v>15856.9349975453</v>
      </c>
    </row>
    <row r="4708" customHeight="1" spans="1:6">
      <c r="A4708" s="7">
        <v>1</v>
      </c>
      <c r="B4708" s="7" t="s">
        <v>839</v>
      </c>
      <c r="C4708" s="7" t="s">
        <v>840</v>
      </c>
      <c r="D4708" s="69"/>
      <c r="E4708" s="42">
        <f>SUM(E4709:E4710)</f>
        <v>579.1</v>
      </c>
      <c r="F4708" s="69">
        <f>SUM(F4709:F4710)</f>
        <v>3799.485</v>
      </c>
    </row>
    <row r="4709" customHeight="1" spans="1:6">
      <c r="A4709" s="7"/>
      <c r="B4709" s="7" t="s">
        <v>841</v>
      </c>
      <c r="C4709" s="7" t="s">
        <v>840</v>
      </c>
      <c r="D4709" s="69">
        <f>D4671</f>
        <v>8.1</v>
      </c>
      <c r="E4709" s="42">
        <v>196.6</v>
      </c>
      <c r="F4709" s="69">
        <f>D4709*E4709</f>
        <v>1592.46</v>
      </c>
    </row>
    <row r="4710" customHeight="1" spans="1:6">
      <c r="A4710" s="7"/>
      <c r="B4710" s="7" t="s">
        <v>842</v>
      </c>
      <c r="C4710" s="7" t="s">
        <v>840</v>
      </c>
      <c r="D4710" s="69">
        <f>D4672</f>
        <v>5.77</v>
      </c>
      <c r="E4710" s="42">
        <v>382.5</v>
      </c>
      <c r="F4710" s="69">
        <f>D4710*E4710</f>
        <v>2207.025</v>
      </c>
    </row>
    <row r="4711" customHeight="1" spans="1:8">
      <c r="A4711" s="7">
        <v>2</v>
      </c>
      <c r="B4711" s="7" t="s">
        <v>1254</v>
      </c>
      <c r="C4711" s="9"/>
      <c r="D4711" s="38"/>
      <c r="E4711" s="38"/>
      <c r="F4711" s="38">
        <f>SUM(F4712:F4714)</f>
        <v>11993.7730769231</v>
      </c>
      <c r="H4711" s="339"/>
    </row>
    <row r="4712" customHeight="1" spans="1:6">
      <c r="A4712" s="7"/>
      <c r="B4712" s="336" t="s">
        <v>1317</v>
      </c>
      <c r="C4712" s="39" t="s">
        <v>1318</v>
      </c>
      <c r="D4712" s="38">
        <f>D4674</f>
        <v>70</v>
      </c>
      <c r="E4712" s="38">
        <v>116</v>
      </c>
      <c r="F4712" s="38">
        <f>D4712*E4712</f>
        <v>8120</v>
      </c>
    </row>
    <row r="4713" customHeight="1" spans="1:9">
      <c r="A4713" s="7"/>
      <c r="B4713" s="336" t="s">
        <v>1319</v>
      </c>
      <c r="C4713" s="39" t="s">
        <v>1320</v>
      </c>
      <c r="D4713" s="340">
        <f>5.95/1.17</f>
        <v>5.08547008547009</v>
      </c>
      <c r="E4713" s="38">
        <v>750</v>
      </c>
      <c r="F4713" s="38">
        <f>D4713*E4713</f>
        <v>3814.10256410256</v>
      </c>
      <c r="H4713" s="223">
        <f>2*2*2+2*0.4*2+2*0.4*2+2*0.4</f>
        <v>12</v>
      </c>
      <c r="I4713" s="223">
        <f>2*2*0.4</f>
        <v>1.6</v>
      </c>
    </row>
    <row r="4714" customHeight="1" spans="1:8">
      <c r="A4714" s="7"/>
      <c r="B4714" s="7" t="s">
        <v>1004</v>
      </c>
      <c r="C4714" s="9" t="s">
        <v>845</v>
      </c>
      <c r="D4714" s="38">
        <f>F4712+F4713</f>
        <v>11934.1025641026</v>
      </c>
      <c r="E4714" s="38">
        <v>0.5</v>
      </c>
      <c r="F4714" s="38">
        <f>D4714*E4714/100</f>
        <v>59.6705128205128</v>
      </c>
      <c r="H4714" s="223">
        <f>H4713/I4713</f>
        <v>7.5</v>
      </c>
    </row>
    <row r="4715" customHeight="1" spans="1:6">
      <c r="A4715" s="7">
        <v>3</v>
      </c>
      <c r="B4715" s="7" t="s">
        <v>843</v>
      </c>
      <c r="C4715" s="9"/>
      <c r="D4715" s="38"/>
      <c r="E4715" s="38"/>
      <c r="F4715" s="38">
        <f>F4716</f>
        <v>63.6769206222577</v>
      </c>
    </row>
    <row r="4716" customHeight="1" spans="1:6">
      <c r="A4716" s="7"/>
      <c r="B4716" s="39" t="s">
        <v>1321</v>
      </c>
      <c r="C4716" s="7" t="s">
        <v>428</v>
      </c>
      <c r="D4716" s="38">
        <f>D4678</f>
        <v>0.813242919824491</v>
      </c>
      <c r="E4716" s="38">
        <v>78.3</v>
      </c>
      <c r="F4716" s="38">
        <f>D4716*E4716</f>
        <v>63.6769206222577</v>
      </c>
    </row>
    <row r="4717" customHeight="1" spans="1:6">
      <c r="A4717" s="7" t="s">
        <v>564</v>
      </c>
      <c r="B4717" s="7" t="s">
        <v>846</v>
      </c>
      <c r="C4717" s="337">
        <f>取费表!C6</f>
        <v>0.048</v>
      </c>
      <c r="D4717" s="38"/>
      <c r="E4717" s="38">
        <f>F4707</f>
        <v>15856.9349975453</v>
      </c>
      <c r="F4717" s="38">
        <f>E4717*C4717</f>
        <v>761.132879882176</v>
      </c>
    </row>
    <row r="4718" customHeight="1" spans="1:6">
      <c r="A4718" s="7"/>
      <c r="B4718" s="7"/>
      <c r="C4718" s="337"/>
      <c r="D4718" s="38"/>
      <c r="E4718" s="38"/>
      <c r="F4718" s="38"/>
    </row>
    <row r="4719" customHeight="1" spans="1:6">
      <c r="A4719" s="7" t="s">
        <v>439</v>
      </c>
      <c r="B4719" s="7" t="s">
        <v>847</v>
      </c>
      <c r="C4719" s="337">
        <f>取费表!E6</f>
        <v>0.085</v>
      </c>
      <c r="D4719" s="38"/>
      <c r="E4719" s="38">
        <f>F4706</f>
        <v>16618.0678774275</v>
      </c>
      <c r="F4719" s="38">
        <f>E4719*C4719</f>
        <v>1412.53576958134</v>
      </c>
    </row>
    <row r="4720" customHeight="1" spans="1:6">
      <c r="A4720" s="7" t="s">
        <v>83</v>
      </c>
      <c r="B4720" s="7" t="s">
        <v>848</v>
      </c>
      <c r="C4720" s="337">
        <f>取费表!F6</f>
        <v>0.07</v>
      </c>
      <c r="D4720" s="38"/>
      <c r="E4720" s="38">
        <f>F4719+F4706</f>
        <v>18030.6036470088</v>
      </c>
      <c r="F4720" s="38">
        <f>E4720*C4720</f>
        <v>1262.14225529062</v>
      </c>
    </row>
    <row r="4721" customHeight="1" spans="1:6">
      <c r="A4721" s="7" t="s">
        <v>121</v>
      </c>
      <c r="B4721" s="7" t="s">
        <v>861</v>
      </c>
      <c r="C4721" s="341"/>
      <c r="D4721" s="38"/>
      <c r="E4721" s="38"/>
      <c r="F4721" s="38">
        <f>F4722+F4723</f>
        <v>11375.9138758974</v>
      </c>
    </row>
    <row r="4722" customHeight="1" spans="1:6">
      <c r="A4722" s="7"/>
      <c r="B4722" s="7" t="s">
        <v>1322</v>
      </c>
      <c r="C4722" s="341" t="s">
        <v>169</v>
      </c>
      <c r="D4722" s="38">
        <f>D4684</f>
        <v>3.32234</v>
      </c>
      <c r="E4722" s="38">
        <f>E4712</f>
        <v>116</v>
      </c>
      <c r="F4722" s="38">
        <f>E4722*D4722</f>
        <v>385.39144</v>
      </c>
    </row>
    <row r="4723" customHeight="1" spans="1:6">
      <c r="A4723" s="7"/>
      <c r="B4723" s="336" t="s">
        <v>1319</v>
      </c>
      <c r="C4723" s="342" t="s">
        <v>1320</v>
      </c>
      <c r="D4723" s="38">
        <f>材料预算价!K23-新定额单价!D4713</f>
        <v>14.6540299145299</v>
      </c>
      <c r="E4723" s="38">
        <f>E4713</f>
        <v>750</v>
      </c>
      <c r="F4723" s="38">
        <f>D4723*E4723</f>
        <v>10990.5224358974</v>
      </c>
    </row>
    <row r="4724" customHeight="1" spans="1:6">
      <c r="A4724" s="7" t="s">
        <v>135</v>
      </c>
      <c r="B4724" s="7" t="s">
        <v>849</v>
      </c>
      <c r="C4724" s="343">
        <f>取费表!G6</f>
        <v>0.09</v>
      </c>
      <c r="D4724" s="38"/>
      <c r="E4724" s="34">
        <f>F4721+F4720+F4719+F4706</f>
        <v>30668.6597781969</v>
      </c>
      <c r="F4724" s="38">
        <f>E4724*C4724</f>
        <v>2760.17938003772</v>
      </c>
    </row>
    <row r="4725" customHeight="1" spans="1:6">
      <c r="A4725" s="7"/>
      <c r="B4725" s="7" t="s">
        <v>850</v>
      </c>
      <c r="C4725" s="231"/>
      <c r="D4725" s="38"/>
      <c r="E4725" s="34"/>
      <c r="F4725" s="38">
        <f>(E4724+F4724)*取费表!H6</f>
        <v>1002.86517474704</v>
      </c>
    </row>
    <row r="4726" customHeight="1" spans="1:6">
      <c r="A4726" s="7"/>
      <c r="B4726" s="7" t="s">
        <v>156</v>
      </c>
      <c r="C4726" s="7"/>
      <c r="D4726" s="38"/>
      <c r="E4726" s="38"/>
      <c r="F4726" s="38">
        <f>F4724+E4724+F4725</f>
        <v>34431.7043329817</v>
      </c>
    </row>
    <row r="4727" customHeight="1" spans="1:6">
      <c r="A4727" s="7"/>
      <c r="B4727" s="7"/>
      <c r="C4727" s="7"/>
      <c r="D4727" s="38"/>
      <c r="E4727" s="38"/>
      <c r="F4727" s="38"/>
    </row>
    <row r="4728" customHeight="1" spans="1:6">
      <c r="A4728" s="7"/>
      <c r="B4728" s="7"/>
      <c r="C4728" s="7"/>
      <c r="D4728" s="38"/>
      <c r="E4728" s="38"/>
      <c r="F4728" s="38"/>
    </row>
    <row r="4729" customHeight="1" spans="1:6">
      <c r="A4729" s="7"/>
      <c r="B4729" s="7"/>
      <c r="C4729" s="7"/>
      <c r="D4729" s="38"/>
      <c r="E4729" s="38"/>
      <c r="F4729" s="38"/>
    </row>
    <row r="4730" customHeight="1" spans="1:6">
      <c r="A4730" s="7"/>
      <c r="B4730" s="7"/>
      <c r="C4730" s="7"/>
      <c r="D4730" s="38"/>
      <c r="E4730" s="38"/>
      <c r="F4730" s="38"/>
    </row>
    <row r="4731" customHeight="1" spans="1:6">
      <c r="A4731" s="7"/>
      <c r="B4731" s="7"/>
      <c r="C4731" s="7"/>
      <c r="D4731" s="38"/>
      <c r="E4731" s="38"/>
      <c r="F4731" s="38"/>
    </row>
    <row r="4732" customHeight="1" spans="1:6">
      <c r="A4732" s="7"/>
      <c r="B4732" s="7"/>
      <c r="C4732" s="7"/>
      <c r="D4732" s="38"/>
      <c r="E4732" s="38"/>
      <c r="F4732" s="38"/>
    </row>
    <row r="4733" customHeight="1" spans="1:6">
      <c r="A4733" s="7"/>
      <c r="B4733" s="7"/>
      <c r="C4733" s="7"/>
      <c r="D4733" s="38"/>
      <c r="E4733" s="38"/>
      <c r="F4733" s="38"/>
    </row>
    <row r="4734" customHeight="1" spans="1:6">
      <c r="A4734" s="7"/>
      <c r="B4734" s="7"/>
      <c r="C4734" s="7"/>
      <c r="D4734" s="38"/>
      <c r="E4734" s="38"/>
      <c r="F4734" s="38"/>
    </row>
    <row r="4735" customHeight="1" spans="1:6">
      <c r="A4735" s="7"/>
      <c r="B4735" s="7"/>
      <c r="C4735" s="7"/>
      <c r="D4735" s="38"/>
      <c r="E4735" s="38"/>
      <c r="F4735" s="38"/>
    </row>
    <row r="4736" customHeight="1" spans="1:6">
      <c r="A4736" s="7"/>
      <c r="B4736" s="7"/>
      <c r="C4736" s="7"/>
      <c r="D4736" s="38"/>
      <c r="E4736" s="38"/>
      <c r="F4736" s="38"/>
    </row>
    <row r="4737" customHeight="1" spans="1:6">
      <c r="A4737" s="7"/>
      <c r="B4737" s="7"/>
      <c r="C4737" s="7"/>
      <c r="D4737" s="38"/>
      <c r="E4737" s="38"/>
      <c r="F4737" s="38"/>
    </row>
    <row r="4738" customHeight="1" spans="1:6">
      <c r="A4738" s="7"/>
      <c r="B4738" s="7"/>
      <c r="C4738" s="7"/>
      <c r="D4738" s="38"/>
      <c r="E4738" s="38"/>
      <c r="F4738" s="38"/>
    </row>
    <row r="4739" customHeight="1" spans="1:6">
      <c r="A4739" s="224" t="s">
        <v>828</v>
      </c>
      <c r="B4739" s="225"/>
      <c r="C4739" s="225"/>
      <c r="D4739" s="225"/>
      <c r="E4739" s="225"/>
      <c r="F4739" s="225"/>
    </row>
    <row r="4740" customHeight="1" spans="1:6">
      <c r="A4740" s="296" t="s">
        <v>1325</v>
      </c>
      <c r="B4740" s="296"/>
      <c r="C4740" s="296"/>
      <c r="D4740" s="296"/>
      <c r="E4740" s="296"/>
      <c r="F4740" s="296"/>
    </row>
    <row r="4741" customHeight="1" spans="1:6">
      <c r="A4741" s="270" t="s">
        <v>1315</v>
      </c>
      <c r="B4741" s="228"/>
      <c r="C4741" s="229"/>
      <c r="D4741" s="229"/>
      <c r="E4741" s="228" t="s">
        <v>832</v>
      </c>
      <c r="F4741" s="228"/>
    </row>
    <row r="4742" customHeight="1" spans="1:6">
      <c r="A4742" s="344" t="s">
        <v>911</v>
      </c>
      <c r="B4742" s="233" t="s">
        <v>1326</v>
      </c>
      <c r="C4742" s="233"/>
      <c r="D4742" s="233"/>
      <c r="E4742" s="233"/>
      <c r="F4742" s="147"/>
    </row>
    <row r="4743" customHeight="1" spans="1:6">
      <c r="A4743" s="7" t="s">
        <v>104</v>
      </c>
      <c r="B4743" s="7" t="s">
        <v>835</v>
      </c>
      <c r="C4743" s="7" t="s">
        <v>159</v>
      </c>
      <c r="D4743" s="7" t="s">
        <v>422</v>
      </c>
      <c r="E4743" s="7" t="s">
        <v>160</v>
      </c>
      <c r="F4743" s="7" t="s">
        <v>18</v>
      </c>
    </row>
    <row r="4744" customHeight="1" spans="1:6">
      <c r="A4744" s="7" t="s">
        <v>836</v>
      </c>
      <c r="B4744" s="7" t="s">
        <v>837</v>
      </c>
      <c r="C4744" s="7"/>
      <c r="D4744" s="7"/>
      <c r="E4744" s="7"/>
      <c r="F4744" s="34">
        <f>F4745+F4755+F4756</f>
        <v>13099.6927007423</v>
      </c>
    </row>
    <row r="4745" customHeight="1" spans="1:6">
      <c r="A4745" s="7" t="s">
        <v>539</v>
      </c>
      <c r="B4745" s="7" t="s">
        <v>838</v>
      </c>
      <c r="C4745" s="7"/>
      <c r="D4745" s="7"/>
      <c r="E4745" s="7"/>
      <c r="F4745" s="34">
        <f>F4746+F4749+F4753</f>
        <v>12499.7067755174</v>
      </c>
    </row>
    <row r="4746" customHeight="1" spans="1:6">
      <c r="A4746" s="7">
        <v>1</v>
      </c>
      <c r="B4746" s="7" t="s">
        <v>839</v>
      </c>
      <c r="C4746" s="7" t="s">
        <v>840</v>
      </c>
      <c r="D4746" s="69"/>
      <c r="E4746" s="42">
        <f>SUM(E4747:E4748)</f>
        <v>304.1</v>
      </c>
      <c r="F4746" s="69">
        <f>SUM(F4747:F4748)</f>
        <v>1754.657</v>
      </c>
    </row>
    <row r="4747" customHeight="1" spans="1:6">
      <c r="A4747" s="7"/>
      <c r="B4747" s="7" t="s">
        <v>841</v>
      </c>
      <c r="C4747" s="7" t="s">
        <v>840</v>
      </c>
      <c r="D4747" s="69">
        <f>D4671</f>
        <v>8.1</v>
      </c>
      <c r="E4747" s="42"/>
      <c r="F4747" s="69">
        <f>D4747*E4747</f>
        <v>0</v>
      </c>
    </row>
    <row r="4748" customHeight="1" spans="1:6">
      <c r="A4748" s="7"/>
      <c r="B4748" s="7" t="s">
        <v>842</v>
      </c>
      <c r="C4748" s="7" t="s">
        <v>840</v>
      </c>
      <c r="D4748" s="69">
        <f>D4672</f>
        <v>5.77</v>
      </c>
      <c r="E4748" s="42">
        <v>304.1</v>
      </c>
      <c r="F4748" s="69">
        <f>D4748*E4748</f>
        <v>1754.657</v>
      </c>
    </row>
    <row r="4749" customHeight="1" spans="1:6">
      <c r="A4749" s="7">
        <v>2</v>
      </c>
      <c r="B4749" s="7" t="s">
        <v>1254</v>
      </c>
      <c r="C4749" s="9"/>
      <c r="D4749" s="38"/>
      <c r="E4749" s="38"/>
      <c r="F4749" s="38">
        <f>SUM(F4750:F4752)</f>
        <v>10694.0594444444</v>
      </c>
    </row>
    <row r="4750" customHeight="1" spans="1:6">
      <c r="A4750" s="7"/>
      <c r="B4750" s="336" t="s">
        <v>1317</v>
      </c>
      <c r="C4750" s="39" t="s">
        <v>1318</v>
      </c>
      <c r="D4750" s="38">
        <v>70</v>
      </c>
      <c r="E4750" s="38">
        <v>103</v>
      </c>
      <c r="F4750" s="38">
        <f>D4750*E4750</f>
        <v>7210</v>
      </c>
    </row>
    <row r="4751" customHeight="1" spans="1:9">
      <c r="A4751" s="7"/>
      <c r="B4751" s="336" t="s">
        <v>1319</v>
      </c>
      <c r="C4751" s="39" t="s">
        <v>1320</v>
      </c>
      <c r="D4751" s="340">
        <f>5.95/1.17</f>
        <v>5.08547008547009</v>
      </c>
      <c r="E4751" s="38">
        <v>683</v>
      </c>
      <c r="F4751" s="38">
        <f>D4751*E4751</f>
        <v>3473.37606837607</v>
      </c>
      <c r="H4751" s="223">
        <f>1.5*2*2+1.5*0.5*2+2*0.5*2+1.5*0.5</f>
        <v>10.25</v>
      </c>
      <c r="I4751" s="223">
        <f>1.5*2*0.5</f>
        <v>1.5</v>
      </c>
    </row>
    <row r="4752" customHeight="1" spans="1:8">
      <c r="A4752" s="7"/>
      <c r="B4752" s="7" t="s">
        <v>1004</v>
      </c>
      <c r="C4752" s="9" t="s">
        <v>845</v>
      </c>
      <c r="D4752" s="38">
        <f>F4750+F4751</f>
        <v>10683.3760683761</v>
      </c>
      <c r="E4752" s="38">
        <v>0.1</v>
      </c>
      <c r="F4752" s="38">
        <f>D4752*E4752/100</f>
        <v>10.6833760683761</v>
      </c>
      <c r="H4752" s="223">
        <f>H4751/I4751</f>
        <v>6.83333333333333</v>
      </c>
    </row>
    <row r="4753" customHeight="1" spans="1:6">
      <c r="A4753" s="7">
        <v>3</v>
      </c>
      <c r="B4753" s="7" t="s">
        <v>843</v>
      </c>
      <c r="C4753" s="9"/>
      <c r="D4753" s="38"/>
      <c r="E4753" s="38"/>
      <c r="F4753" s="38">
        <f>F4754</f>
        <v>50.9903310729956</v>
      </c>
    </row>
    <row r="4754" customHeight="1" spans="1:6">
      <c r="A4754" s="7"/>
      <c r="B4754" s="39" t="s">
        <v>1321</v>
      </c>
      <c r="C4754" s="7" t="s">
        <v>428</v>
      </c>
      <c r="D4754" s="38">
        <f>D4678</f>
        <v>0.813242919824491</v>
      </c>
      <c r="E4754" s="38">
        <v>62.7</v>
      </c>
      <c r="F4754" s="38">
        <f>D4754*E4754</f>
        <v>50.9903310729956</v>
      </c>
    </row>
    <row r="4755" customHeight="1" spans="1:6">
      <c r="A4755" s="7" t="s">
        <v>564</v>
      </c>
      <c r="B4755" s="7" t="s">
        <v>846</v>
      </c>
      <c r="C4755" s="337">
        <f>取费表!C6</f>
        <v>0.048</v>
      </c>
      <c r="D4755" s="38"/>
      <c r="E4755" s="38">
        <f>F4745</f>
        <v>12499.7067755174</v>
      </c>
      <c r="F4755" s="38">
        <f>E4755*C4755</f>
        <v>599.985925224837</v>
      </c>
    </row>
    <row r="4756" customHeight="1" spans="1:6">
      <c r="A4756" s="7"/>
      <c r="B4756" s="7"/>
      <c r="C4756" s="337"/>
      <c r="D4756" s="38"/>
      <c r="E4756" s="38"/>
      <c r="F4756" s="38"/>
    </row>
    <row r="4757" customHeight="1" spans="1:6">
      <c r="A4757" s="7" t="s">
        <v>439</v>
      </c>
      <c r="B4757" s="7" t="s">
        <v>847</v>
      </c>
      <c r="C4757" s="337">
        <f>取费表!E6</f>
        <v>0.085</v>
      </c>
      <c r="D4757" s="38"/>
      <c r="E4757" s="38">
        <f>F4744</f>
        <v>13099.6927007423</v>
      </c>
      <c r="F4757" s="38">
        <f>E4757*C4757</f>
        <v>1113.47387956309</v>
      </c>
    </row>
    <row r="4758" customHeight="1" spans="1:6">
      <c r="A4758" s="7" t="s">
        <v>83</v>
      </c>
      <c r="B4758" s="7" t="s">
        <v>848</v>
      </c>
      <c r="C4758" s="337">
        <f>取费表!F6</f>
        <v>0.07</v>
      </c>
      <c r="D4758" s="38"/>
      <c r="E4758" s="38">
        <f>F4757+F4744</f>
        <v>14213.1665803054</v>
      </c>
      <c r="F4758" s="38">
        <f>E4758*C4758</f>
        <v>994.921660621376</v>
      </c>
    </row>
    <row r="4759" customHeight="1" spans="1:6">
      <c r="A4759" s="7" t="s">
        <v>121</v>
      </c>
      <c r="B4759" s="7" t="s">
        <v>861</v>
      </c>
      <c r="C4759" s="341"/>
      <c r="D4759" s="38"/>
      <c r="E4759" s="38"/>
      <c r="F4759" s="38">
        <f>F4760+F4761</f>
        <v>10940.5373516239</v>
      </c>
    </row>
    <row r="4760" customHeight="1" spans="1:6">
      <c r="A4760" s="7"/>
      <c r="B4760" s="7" t="s">
        <v>1322</v>
      </c>
      <c r="C4760" s="7" t="s">
        <v>169</v>
      </c>
      <c r="D4760" s="38">
        <f>D4684</f>
        <v>3.32234</v>
      </c>
      <c r="E4760" s="38">
        <f>E4750</f>
        <v>103</v>
      </c>
      <c r="F4760" s="38">
        <f>E4760*D4760</f>
        <v>342.20102</v>
      </c>
    </row>
    <row r="4761" customHeight="1" spans="1:6">
      <c r="A4761" s="7"/>
      <c r="B4761" s="336" t="s">
        <v>1319</v>
      </c>
      <c r="C4761" s="39" t="s">
        <v>1320</v>
      </c>
      <c r="D4761" s="38">
        <f>材料预算价!K24-新定额单价!D4751</f>
        <v>15.5173299145299</v>
      </c>
      <c r="E4761" s="38">
        <f>E4751</f>
        <v>683</v>
      </c>
      <c r="F4761" s="38">
        <f>D4761*E4761</f>
        <v>10598.3363316239</v>
      </c>
    </row>
    <row r="4762" customHeight="1" spans="1:6">
      <c r="A4762" s="7" t="s">
        <v>135</v>
      </c>
      <c r="B4762" s="7" t="s">
        <v>849</v>
      </c>
      <c r="C4762" s="231">
        <f>取费表!G6</f>
        <v>0.09</v>
      </c>
      <c r="D4762" s="38"/>
      <c r="E4762" s="34">
        <f>F4759+F4758+F4757+F4744</f>
        <v>26148.6255925507</v>
      </c>
      <c r="F4762" s="38">
        <f>E4762*C4762</f>
        <v>2353.37630332956</v>
      </c>
    </row>
    <row r="4763" customHeight="1" spans="1:6">
      <c r="A4763" s="7"/>
      <c r="B4763" s="7" t="s">
        <v>850</v>
      </c>
      <c r="C4763" s="231"/>
      <c r="D4763" s="38"/>
      <c r="E4763" s="34"/>
      <c r="F4763" s="38">
        <f>(E4762+F4762)*取费表!H12</f>
        <v>855.060056876408</v>
      </c>
    </row>
    <row r="4764" customHeight="1" spans="1:6">
      <c r="A4764" s="7"/>
      <c r="B4764" s="7" t="s">
        <v>156</v>
      </c>
      <c r="C4764" s="7"/>
      <c r="D4764" s="38"/>
      <c r="E4764" s="38"/>
      <c r="F4764" s="38">
        <f>F4762+E4762+F4763</f>
        <v>29357.0619527567</v>
      </c>
    </row>
    <row r="4765" customHeight="1" spans="1:6">
      <c r="A4765" s="7"/>
      <c r="B4765" s="7"/>
      <c r="C4765" s="7"/>
      <c r="D4765" s="38"/>
      <c r="E4765" s="38"/>
      <c r="F4765" s="38"/>
    </row>
    <row r="4766" customHeight="1" spans="1:6">
      <c r="A4766" s="7"/>
      <c r="B4766" s="7"/>
      <c r="C4766" s="7"/>
      <c r="D4766" s="38"/>
      <c r="E4766" s="38"/>
      <c r="F4766" s="38"/>
    </row>
    <row r="4767" customHeight="1" spans="1:6">
      <c r="A4767" s="7"/>
      <c r="B4767" s="7"/>
      <c r="C4767" s="7"/>
      <c r="D4767" s="38"/>
      <c r="E4767" s="38"/>
      <c r="F4767" s="38"/>
    </row>
    <row r="4768" customHeight="1" spans="1:6">
      <c r="A4768" s="7"/>
      <c r="B4768" s="7"/>
      <c r="C4768" s="7"/>
      <c r="D4768" s="38"/>
      <c r="E4768" s="38"/>
      <c r="F4768" s="38"/>
    </row>
    <row r="4769" customHeight="1" spans="1:6">
      <c r="A4769" s="7"/>
      <c r="B4769" s="7"/>
      <c r="C4769" s="7"/>
      <c r="D4769" s="38"/>
      <c r="E4769" s="38"/>
      <c r="F4769" s="38"/>
    </row>
    <row r="4770" customHeight="1" spans="1:6">
      <c r="A4770" s="7"/>
      <c r="B4770" s="7"/>
      <c r="C4770" s="7"/>
      <c r="D4770" s="38"/>
      <c r="E4770" s="38"/>
      <c r="F4770" s="38"/>
    </row>
    <row r="4771" customHeight="1" spans="1:6">
      <c r="A4771" s="7"/>
      <c r="B4771" s="7"/>
      <c r="C4771" s="7"/>
      <c r="D4771" s="38"/>
      <c r="E4771" s="38"/>
      <c r="F4771" s="38"/>
    </row>
    <row r="4772" customHeight="1" spans="1:6">
      <c r="A4772" s="7"/>
      <c r="B4772" s="7"/>
      <c r="C4772" s="7"/>
      <c r="D4772" s="38"/>
      <c r="E4772" s="38"/>
      <c r="F4772" s="38"/>
    </row>
    <row r="4773" customHeight="1" spans="1:6">
      <c r="A4773" s="7"/>
      <c r="B4773" s="7"/>
      <c r="C4773" s="7"/>
      <c r="D4773" s="38"/>
      <c r="E4773" s="38"/>
      <c r="F4773" s="38"/>
    </row>
    <row r="4774" customHeight="1" spans="1:6">
      <c r="A4774" s="7"/>
      <c r="B4774" s="7"/>
      <c r="C4774" s="7"/>
      <c r="D4774" s="38"/>
      <c r="E4774" s="38"/>
      <c r="F4774" s="38"/>
    </row>
    <row r="4775" customHeight="1" spans="1:6">
      <c r="A4775" s="7"/>
      <c r="B4775" s="7"/>
      <c r="C4775" s="7"/>
      <c r="D4775" s="38"/>
      <c r="E4775" s="38"/>
      <c r="F4775" s="38"/>
    </row>
    <row r="4776" customHeight="1" spans="1:6">
      <c r="A4776" s="7"/>
      <c r="B4776" s="7"/>
      <c r="C4776" s="7"/>
      <c r="D4776" s="38"/>
      <c r="E4776" s="38"/>
      <c r="F4776" s="38"/>
    </row>
    <row r="4777" customHeight="1" spans="1:6">
      <c r="A4777" s="224" t="s">
        <v>828</v>
      </c>
      <c r="B4777" s="225"/>
      <c r="C4777" s="225"/>
      <c r="D4777" s="225"/>
      <c r="E4777" s="225"/>
      <c r="F4777" s="225"/>
    </row>
    <row r="4778" customHeight="1" spans="1:6">
      <c r="A4778" s="296" t="s">
        <v>1325</v>
      </c>
      <c r="B4778" s="296"/>
      <c r="C4778" s="296"/>
      <c r="D4778" s="296"/>
      <c r="E4778" s="296"/>
      <c r="F4778" s="296"/>
    </row>
    <row r="4779" customHeight="1" spans="1:6">
      <c r="A4779" s="270" t="s">
        <v>1315</v>
      </c>
      <c r="B4779" s="228"/>
      <c r="C4779" s="229"/>
      <c r="D4779" s="229"/>
      <c r="E4779" s="228" t="s">
        <v>832</v>
      </c>
      <c r="F4779" s="228"/>
    </row>
    <row r="4780" customHeight="1" spans="1:6">
      <c r="A4780" s="232" t="s">
        <v>911</v>
      </c>
      <c r="B4780" s="233" t="s">
        <v>1327</v>
      </c>
      <c r="C4780" s="233"/>
      <c r="D4780" s="233"/>
      <c r="E4780" s="233"/>
      <c r="F4780" s="147"/>
    </row>
    <row r="4781" customHeight="1" spans="1:6">
      <c r="A4781" s="7" t="s">
        <v>104</v>
      </c>
      <c r="B4781" s="7" t="s">
        <v>835</v>
      </c>
      <c r="C4781" s="7" t="s">
        <v>159</v>
      </c>
      <c r="D4781" s="7" t="s">
        <v>422</v>
      </c>
      <c r="E4781" s="7" t="s">
        <v>160</v>
      </c>
      <c r="F4781" s="7" t="s">
        <v>18</v>
      </c>
    </row>
    <row r="4782" customHeight="1" spans="1:6">
      <c r="A4782" s="7" t="s">
        <v>836</v>
      </c>
      <c r="B4782" s="7" t="s">
        <v>837</v>
      </c>
      <c r="C4782" s="7"/>
      <c r="D4782" s="7"/>
      <c r="E4782" s="7"/>
      <c r="F4782" s="34">
        <f>F4783+F4793+F4794</f>
        <v>14762.6041115889</v>
      </c>
    </row>
    <row r="4783" customHeight="1" spans="1:6">
      <c r="A4783" s="7" t="s">
        <v>539</v>
      </c>
      <c r="B4783" s="7" t="s">
        <v>838</v>
      </c>
      <c r="C4783" s="7"/>
      <c r="D4783" s="7"/>
      <c r="E4783" s="7"/>
      <c r="F4783" s="34">
        <f>F4784+F4787+F4791</f>
        <v>14086.4543049513</v>
      </c>
    </row>
    <row r="4784" customHeight="1" spans="1:6">
      <c r="A4784" s="7">
        <v>1</v>
      </c>
      <c r="B4784" s="7" t="s">
        <v>839</v>
      </c>
      <c r="C4784" s="7" t="s">
        <v>840</v>
      </c>
      <c r="D4784" s="69"/>
      <c r="E4784" s="42">
        <f>SUM(E4785:E4786)</f>
        <v>416.8</v>
      </c>
      <c r="F4784" s="69">
        <f>SUM(F4785:F4786)</f>
        <v>2696.186</v>
      </c>
    </row>
    <row r="4785" customHeight="1" spans="1:6">
      <c r="A4785" s="7"/>
      <c r="B4785" s="7" t="s">
        <v>841</v>
      </c>
      <c r="C4785" s="7" t="s">
        <v>840</v>
      </c>
      <c r="D4785" s="69">
        <f>D4747</f>
        <v>8.1</v>
      </c>
      <c r="E4785" s="42">
        <v>125</v>
      </c>
      <c r="F4785" s="69">
        <f>D4785*E4785</f>
        <v>1012.5</v>
      </c>
    </row>
    <row r="4786" customHeight="1" spans="1:6">
      <c r="A4786" s="7"/>
      <c r="B4786" s="7" t="s">
        <v>842</v>
      </c>
      <c r="C4786" s="7" t="s">
        <v>840</v>
      </c>
      <c r="D4786" s="69">
        <f>D4748</f>
        <v>5.77</v>
      </c>
      <c r="E4786" s="42">
        <v>291.8</v>
      </c>
      <c r="F4786" s="69">
        <f>D4786*E4786</f>
        <v>1683.686</v>
      </c>
    </row>
    <row r="4787" customHeight="1" spans="1:6">
      <c r="A4787" s="7">
        <v>2</v>
      </c>
      <c r="B4787" s="7" t="s">
        <v>1254</v>
      </c>
      <c r="C4787" s="9"/>
      <c r="D4787" s="38"/>
      <c r="E4787" s="38"/>
      <c r="F4787" s="38">
        <f>SUM(F4788:F4790)</f>
        <v>11329.3564102564</v>
      </c>
    </row>
    <row r="4788" customHeight="1" spans="1:6">
      <c r="A4788" s="7"/>
      <c r="B4788" s="336" t="s">
        <v>1317</v>
      </c>
      <c r="C4788" s="39" t="s">
        <v>1318</v>
      </c>
      <c r="D4788" s="38">
        <v>70</v>
      </c>
      <c r="E4788" s="38">
        <v>116</v>
      </c>
      <c r="F4788" s="38">
        <f>D4788*E4788</f>
        <v>8120</v>
      </c>
    </row>
    <row r="4789" customHeight="1" spans="1:9">
      <c r="A4789" s="7"/>
      <c r="B4789" s="336" t="s">
        <v>1319</v>
      </c>
      <c r="C4789" s="39" t="s">
        <v>1320</v>
      </c>
      <c r="D4789" s="340">
        <f>5.95/1.17</f>
        <v>5.08547008547009</v>
      </c>
      <c r="E4789" s="38">
        <v>620</v>
      </c>
      <c r="F4789" s="38">
        <f>D4789*E4789</f>
        <v>3152.99145299145</v>
      </c>
      <c r="H4789" s="223">
        <f>2.5*2*2+2.5*0.5*2+2*0.5*2+2*0.5</f>
        <v>15.5</v>
      </c>
      <c r="I4789" s="223">
        <f>2.5*2*0.5</f>
        <v>2.5</v>
      </c>
    </row>
    <row r="4790" customHeight="1" spans="1:8">
      <c r="A4790" s="7"/>
      <c r="B4790" s="7" t="s">
        <v>1004</v>
      </c>
      <c r="C4790" s="9" t="s">
        <v>845</v>
      </c>
      <c r="D4790" s="38">
        <f>F4788+F4789</f>
        <v>11272.9914529915</v>
      </c>
      <c r="E4790" s="38">
        <v>0.5</v>
      </c>
      <c r="F4790" s="38">
        <f>D4790*E4790/100</f>
        <v>56.3649572649573</v>
      </c>
      <c r="H4790" s="223">
        <f>H4789/I4789</f>
        <v>6.2</v>
      </c>
    </row>
    <row r="4791" customHeight="1" spans="1:6">
      <c r="A4791" s="7">
        <v>3</v>
      </c>
      <c r="B4791" s="7" t="s">
        <v>843</v>
      </c>
      <c r="C4791" s="9"/>
      <c r="D4791" s="38"/>
      <c r="E4791" s="38"/>
      <c r="F4791" s="38">
        <f>F4792</f>
        <v>60.9118946948544</v>
      </c>
    </row>
    <row r="4792" customHeight="1" spans="1:6">
      <c r="A4792" s="7"/>
      <c r="B4792" s="39" t="s">
        <v>1321</v>
      </c>
      <c r="C4792" s="7" t="s">
        <v>428</v>
      </c>
      <c r="D4792" s="38">
        <f>D4754</f>
        <v>0.813242919824491</v>
      </c>
      <c r="E4792" s="38">
        <v>74.9</v>
      </c>
      <c r="F4792" s="38">
        <f>D4792*E4792</f>
        <v>60.9118946948544</v>
      </c>
    </row>
    <row r="4793" customHeight="1" spans="1:6">
      <c r="A4793" s="7" t="s">
        <v>564</v>
      </c>
      <c r="B4793" s="7" t="s">
        <v>846</v>
      </c>
      <c r="C4793" s="337">
        <f>取费表!C6</f>
        <v>0.048</v>
      </c>
      <c r="D4793" s="38"/>
      <c r="E4793" s="38">
        <f>F4783</f>
        <v>14086.4543049513</v>
      </c>
      <c r="F4793" s="38">
        <f>E4793*C4793</f>
        <v>676.149806637661</v>
      </c>
    </row>
    <row r="4794" customHeight="1" spans="1:6">
      <c r="A4794" s="7"/>
      <c r="B4794" s="7"/>
      <c r="C4794" s="337"/>
      <c r="D4794" s="38"/>
      <c r="E4794" s="38"/>
      <c r="F4794" s="38"/>
    </row>
    <row r="4795" customHeight="1" spans="1:6">
      <c r="A4795" s="7" t="s">
        <v>439</v>
      </c>
      <c r="B4795" s="7" t="s">
        <v>847</v>
      </c>
      <c r="C4795" s="337">
        <f>取费表!E6</f>
        <v>0.085</v>
      </c>
      <c r="D4795" s="38"/>
      <c r="E4795" s="38">
        <f>F4782</f>
        <v>14762.6041115889</v>
      </c>
      <c r="F4795" s="38">
        <f>E4795*C4795</f>
        <v>1254.82134948506</v>
      </c>
    </row>
    <row r="4796" customHeight="1" spans="1:6">
      <c r="A4796" s="7" t="s">
        <v>83</v>
      </c>
      <c r="B4796" s="7" t="s">
        <v>848</v>
      </c>
      <c r="C4796" s="337">
        <f>取费表!F6</f>
        <v>0.07</v>
      </c>
      <c r="D4796" s="38"/>
      <c r="E4796" s="38">
        <f>F4795+F4782</f>
        <v>16017.425461074</v>
      </c>
      <c r="F4796" s="38">
        <f>E4796*C4796</f>
        <v>1121.21978227518</v>
      </c>
    </row>
    <row r="4797" customHeight="1" spans="1:6">
      <c r="A4797" s="7" t="s">
        <v>121</v>
      </c>
      <c r="B4797" s="7" t="s">
        <v>861</v>
      </c>
      <c r="C4797" s="341"/>
      <c r="D4797" s="38"/>
      <c r="E4797" s="38"/>
      <c r="F4797" s="38">
        <f>F4798+F4799</f>
        <v>10006.1359870085</v>
      </c>
    </row>
    <row r="4798" customHeight="1" spans="1:6">
      <c r="A4798" s="7"/>
      <c r="B4798" s="7" t="s">
        <v>1322</v>
      </c>
      <c r="C4798" s="341" t="s">
        <v>169</v>
      </c>
      <c r="D4798" s="338">
        <f>D4760</f>
        <v>3.32234</v>
      </c>
      <c r="E4798" s="38">
        <f>E4788</f>
        <v>116</v>
      </c>
      <c r="F4798" s="38">
        <f>E4798*D4798</f>
        <v>385.39144</v>
      </c>
    </row>
    <row r="4799" customHeight="1" spans="1:6">
      <c r="A4799" s="7"/>
      <c r="B4799" s="336" t="s">
        <v>1319</v>
      </c>
      <c r="C4799" s="342" t="s">
        <v>1320</v>
      </c>
      <c r="D4799" s="338">
        <f>材料预算价!K24-新定额单价!D4789</f>
        <v>15.5173299145299</v>
      </c>
      <c r="E4799" s="38">
        <f>E4789</f>
        <v>620</v>
      </c>
      <c r="F4799" s="38">
        <f>D4799*E4799</f>
        <v>9620.74454700854</v>
      </c>
    </row>
    <row r="4800" customHeight="1" spans="1:6">
      <c r="A4800" s="7" t="s">
        <v>135</v>
      </c>
      <c r="B4800" s="7" t="s">
        <v>849</v>
      </c>
      <c r="C4800" s="343">
        <f>取费表!G6</f>
        <v>0.09</v>
      </c>
      <c r="D4800" s="38"/>
      <c r="E4800" s="34">
        <f>F4797+F4796+F4795+F4782</f>
        <v>27144.7812303577</v>
      </c>
      <c r="F4800" s="38">
        <f>E4800*C4800</f>
        <v>2443.03031073219</v>
      </c>
    </row>
    <row r="4801" customHeight="1" spans="1:6">
      <c r="A4801" s="7"/>
      <c r="B4801" s="7" t="s">
        <v>850</v>
      </c>
      <c r="C4801" s="231"/>
      <c r="D4801" s="38"/>
      <c r="E4801" s="34"/>
      <c r="F4801" s="38">
        <f>(E4800+F4800)*取费表!H12</f>
        <v>887.634346232696</v>
      </c>
    </row>
    <row r="4802" customHeight="1" spans="1:6">
      <c r="A4802" s="7"/>
      <c r="B4802" s="7" t="s">
        <v>156</v>
      </c>
      <c r="C4802" s="7"/>
      <c r="D4802" s="38"/>
      <c r="E4802" s="38"/>
      <c r="F4802" s="38">
        <f>F4800+E4800+F4801</f>
        <v>30475.4458873226</v>
      </c>
    </row>
    <row r="4803" customHeight="1" spans="1:6">
      <c r="A4803" s="7"/>
      <c r="B4803" s="7"/>
      <c r="C4803" s="7"/>
      <c r="D4803" s="38"/>
      <c r="E4803" s="38"/>
      <c r="F4803" s="38"/>
    </row>
    <row r="4804" customHeight="1" spans="1:6">
      <c r="A4804" s="7"/>
      <c r="B4804" s="7"/>
      <c r="C4804" s="7"/>
      <c r="D4804" s="38"/>
      <c r="E4804" s="38"/>
      <c r="F4804" s="38"/>
    </row>
    <row r="4805" customHeight="1" spans="1:6">
      <c r="A4805" s="7"/>
      <c r="B4805" s="7"/>
      <c r="C4805" s="7"/>
      <c r="D4805" s="38"/>
      <c r="E4805" s="38"/>
      <c r="F4805" s="38"/>
    </row>
    <row r="4806" customHeight="1" spans="1:6">
      <c r="A4806" s="7"/>
      <c r="B4806" s="7"/>
      <c r="C4806" s="7"/>
      <c r="D4806" s="38"/>
      <c r="E4806" s="38"/>
      <c r="F4806" s="38"/>
    </row>
    <row r="4807" customHeight="1" spans="1:6">
      <c r="A4807" s="7"/>
      <c r="B4807" s="7"/>
      <c r="C4807" s="7"/>
      <c r="D4807" s="38"/>
      <c r="E4807" s="38"/>
      <c r="F4807" s="38"/>
    </row>
    <row r="4808" customHeight="1" spans="1:6">
      <c r="A4808" s="7"/>
      <c r="B4808" s="7"/>
      <c r="C4808" s="7"/>
      <c r="D4808" s="38"/>
      <c r="E4808" s="38"/>
      <c r="F4808" s="38"/>
    </row>
    <row r="4809" customHeight="1" spans="1:6">
      <c r="A4809" s="7"/>
      <c r="B4809" s="7"/>
      <c r="C4809" s="7"/>
      <c r="D4809" s="38"/>
      <c r="E4809" s="38"/>
      <c r="F4809" s="38"/>
    </row>
    <row r="4810" customHeight="1" spans="1:6">
      <c r="A4810" s="7"/>
      <c r="B4810" s="7"/>
      <c r="C4810" s="7"/>
      <c r="D4810" s="38"/>
      <c r="E4810" s="38"/>
      <c r="F4810" s="38"/>
    </row>
    <row r="4811" customHeight="1" spans="1:6">
      <c r="A4811" s="7"/>
      <c r="B4811" s="7"/>
      <c r="C4811" s="7"/>
      <c r="D4811" s="38"/>
      <c r="E4811" s="38"/>
      <c r="F4811" s="38"/>
    </row>
    <row r="4812" customHeight="1" spans="1:6">
      <c r="A4812" s="7"/>
      <c r="B4812" s="7"/>
      <c r="C4812" s="7"/>
      <c r="D4812" s="38"/>
      <c r="E4812" s="38"/>
      <c r="F4812" s="38"/>
    </row>
    <row r="4813" customHeight="1" spans="1:6">
      <c r="A4813" s="7"/>
      <c r="B4813" s="7"/>
      <c r="C4813" s="7"/>
      <c r="D4813" s="38"/>
      <c r="E4813" s="38"/>
      <c r="F4813" s="38"/>
    </row>
    <row r="4814" customHeight="1" spans="1:6">
      <c r="A4814" s="7"/>
      <c r="B4814" s="7"/>
      <c r="C4814" s="7"/>
      <c r="D4814" s="38"/>
      <c r="E4814" s="38"/>
      <c r="F4814" s="38"/>
    </row>
    <row r="4815" customHeight="1" spans="1:6">
      <c r="A4815" s="224" t="s">
        <v>828</v>
      </c>
      <c r="B4815" s="225"/>
      <c r="C4815" s="225"/>
      <c r="D4815" s="225"/>
      <c r="E4815" s="225"/>
      <c r="F4815" s="225"/>
    </row>
    <row r="4816" customHeight="1" spans="1:6">
      <c r="A4816" s="296" t="s">
        <v>1325</v>
      </c>
      <c r="B4816" s="296"/>
      <c r="C4816" s="296"/>
      <c r="D4816" s="296"/>
      <c r="E4816" s="296"/>
      <c r="F4816" s="296"/>
    </row>
    <row r="4817" customHeight="1" spans="1:6">
      <c r="A4817" s="227" t="s">
        <v>1315</v>
      </c>
      <c r="B4817" s="228"/>
      <c r="C4817" s="229"/>
      <c r="D4817" s="229"/>
      <c r="E4817" s="228" t="s">
        <v>832</v>
      </c>
      <c r="F4817" s="228"/>
    </row>
    <row r="4818" customHeight="1" spans="1:6">
      <c r="A4818" s="232" t="s">
        <v>911</v>
      </c>
      <c r="B4818" s="233" t="s">
        <v>1328</v>
      </c>
      <c r="C4818" s="233"/>
      <c r="D4818" s="233"/>
      <c r="E4818" s="233"/>
      <c r="F4818" s="147"/>
    </row>
    <row r="4819" customHeight="1" spans="1:6">
      <c r="A4819" s="7" t="s">
        <v>104</v>
      </c>
      <c r="B4819" s="7" t="s">
        <v>835</v>
      </c>
      <c r="C4819" s="7" t="s">
        <v>159</v>
      </c>
      <c r="D4819" s="7" t="s">
        <v>422</v>
      </c>
      <c r="E4819" s="7" t="s">
        <v>160</v>
      </c>
      <c r="F4819" s="7" t="s">
        <v>18</v>
      </c>
    </row>
    <row r="4820" customHeight="1" spans="1:6">
      <c r="A4820" s="7" t="s">
        <v>836</v>
      </c>
      <c r="B4820" s="7" t="s">
        <v>837</v>
      </c>
      <c r="C4820" s="7"/>
      <c r="D4820" s="7"/>
      <c r="E4820" s="7"/>
      <c r="F4820" s="34">
        <f>F4821+F4831+F4832</f>
        <v>15314.4173668121</v>
      </c>
    </row>
    <row r="4821" customHeight="1" spans="1:6">
      <c r="A4821" s="7" t="s">
        <v>539</v>
      </c>
      <c r="B4821" s="7" t="s">
        <v>838</v>
      </c>
      <c r="C4821" s="7"/>
      <c r="D4821" s="7"/>
      <c r="E4821" s="7"/>
      <c r="F4821" s="34">
        <f>F4822+F4825+F4829</f>
        <v>14612.9936706223</v>
      </c>
    </row>
    <row r="4822" customHeight="1" spans="1:6">
      <c r="A4822" s="7">
        <v>1</v>
      </c>
      <c r="B4822" s="7" t="s">
        <v>839</v>
      </c>
      <c r="C4822" s="7" t="s">
        <v>840</v>
      </c>
      <c r="D4822" s="69"/>
      <c r="E4822" s="42">
        <f>SUM(E4823:E4824)</f>
        <v>579.1</v>
      </c>
      <c r="F4822" s="69">
        <f>SUM(F4823:F4824)</f>
        <v>3799.485</v>
      </c>
    </row>
    <row r="4823" customHeight="1" spans="1:6">
      <c r="A4823" s="7"/>
      <c r="B4823" s="7" t="s">
        <v>841</v>
      </c>
      <c r="C4823" s="7" t="s">
        <v>840</v>
      </c>
      <c r="D4823" s="69">
        <f>D4785</f>
        <v>8.1</v>
      </c>
      <c r="E4823" s="42">
        <v>196.6</v>
      </c>
      <c r="F4823" s="69">
        <f>D4823*E4823</f>
        <v>1592.46</v>
      </c>
    </row>
    <row r="4824" customHeight="1" spans="1:6">
      <c r="A4824" s="7"/>
      <c r="B4824" s="7" t="s">
        <v>842</v>
      </c>
      <c r="C4824" s="7" t="s">
        <v>840</v>
      </c>
      <c r="D4824" s="69">
        <f>D4786</f>
        <v>5.77</v>
      </c>
      <c r="E4824" s="42">
        <v>382.5</v>
      </c>
      <c r="F4824" s="69">
        <f>D4824*E4824</f>
        <v>2207.025</v>
      </c>
    </row>
    <row r="4825" customHeight="1" spans="1:6">
      <c r="A4825" s="7">
        <v>2</v>
      </c>
      <c r="B4825" s="7" t="s">
        <v>1254</v>
      </c>
      <c r="C4825" s="9"/>
      <c r="D4825" s="38"/>
      <c r="E4825" s="38"/>
      <c r="F4825" s="38">
        <f>SUM(F4826:F4828)</f>
        <v>10749.83175</v>
      </c>
    </row>
    <row r="4826" customHeight="1" spans="1:6">
      <c r="A4826" s="7"/>
      <c r="B4826" s="336" t="s">
        <v>1317</v>
      </c>
      <c r="C4826" s="39" t="s">
        <v>1318</v>
      </c>
      <c r="D4826" s="38">
        <v>70</v>
      </c>
      <c r="E4826" s="38">
        <v>116</v>
      </c>
      <c r="F4826" s="38">
        <f>D4826*E4826</f>
        <v>8120</v>
      </c>
    </row>
    <row r="4827" customHeight="1" spans="1:9">
      <c r="A4827" s="7"/>
      <c r="B4827" s="336" t="s">
        <v>1319</v>
      </c>
      <c r="C4827" s="39" t="s">
        <v>1320</v>
      </c>
      <c r="D4827" s="38">
        <v>5.95</v>
      </c>
      <c r="E4827" s="38">
        <v>433</v>
      </c>
      <c r="F4827" s="38">
        <f>D4827*E4827</f>
        <v>2576.35</v>
      </c>
      <c r="H4827" s="223">
        <f>1.5*1*2+1.5*2*2+1*2*2</f>
        <v>13</v>
      </c>
      <c r="I4827" s="223">
        <f>1.5*1*2</f>
        <v>3</v>
      </c>
    </row>
    <row r="4828" customHeight="1" spans="1:8">
      <c r="A4828" s="7"/>
      <c r="B4828" s="7" t="s">
        <v>1004</v>
      </c>
      <c r="C4828" s="9" t="s">
        <v>845</v>
      </c>
      <c r="D4828" s="38">
        <f>F4826+F4827</f>
        <v>10696.35</v>
      </c>
      <c r="E4828" s="38">
        <v>0.5</v>
      </c>
      <c r="F4828" s="38">
        <f>D4828*E4828/100</f>
        <v>53.48175</v>
      </c>
      <c r="H4828" s="223">
        <f>H4827/I4827</f>
        <v>4.33333333333333</v>
      </c>
    </row>
    <row r="4829" customHeight="1" spans="1:6">
      <c r="A4829" s="7">
        <v>3</v>
      </c>
      <c r="B4829" s="7" t="s">
        <v>843</v>
      </c>
      <c r="C4829" s="9"/>
      <c r="D4829" s="38"/>
      <c r="E4829" s="38"/>
      <c r="F4829" s="38">
        <f>F4830</f>
        <v>63.6769206222577</v>
      </c>
    </row>
    <row r="4830" customHeight="1" spans="1:6">
      <c r="A4830" s="7"/>
      <c r="B4830" s="39" t="s">
        <v>1321</v>
      </c>
      <c r="C4830" s="7" t="s">
        <v>428</v>
      </c>
      <c r="D4830" s="38">
        <f>D4792</f>
        <v>0.813242919824491</v>
      </c>
      <c r="E4830" s="38">
        <v>78.3</v>
      </c>
      <c r="F4830" s="38">
        <f>D4830*E4830</f>
        <v>63.6769206222577</v>
      </c>
    </row>
    <row r="4831" customHeight="1" spans="1:6">
      <c r="A4831" s="7" t="s">
        <v>564</v>
      </c>
      <c r="B4831" s="7" t="s">
        <v>846</v>
      </c>
      <c r="C4831" s="230">
        <f>C4793</f>
        <v>0.048</v>
      </c>
      <c r="D4831" s="38"/>
      <c r="E4831" s="38">
        <f>F4821</f>
        <v>14612.9936706223</v>
      </c>
      <c r="F4831" s="38">
        <f>E4831*C4831</f>
        <v>701.423696189868</v>
      </c>
    </row>
    <row r="4832" customHeight="1" spans="1:6">
      <c r="A4832" s="7"/>
      <c r="B4832" s="7"/>
      <c r="C4832" s="230"/>
      <c r="D4832" s="38"/>
      <c r="E4832" s="38"/>
      <c r="F4832" s="38"/>
    </row>
    <row r="4833" customHeight="1" spans="1:6">
      <c r="A4833" s="7" t="s">
        <v>439</v>
      </c>
      <c r="B4833" s="7" t="s">
        <v>847</v>
      </c>
      <c r="C4833" s="230">
        <f>C4795</f>
        <v>0.085</v>
      </c>
      <c r="D4833" s="38"/>
      <c r="E4833" s="38">
        <f>F4820</f>
        <v>15314.4173668121</v>
      </c>
      <c r="F4833" s="38">
        <f>E4833*C4833</f>
        <v>1301.72547617903</v>
      </c>
    </row>
    <row r="4834" customHeight="1" spans="1:6">
      <c r="A4834" s="7" t="s">
        <v>83</v>
      </c>
      <c r="B4834" s="7" t="s">
        <v>848</v>
      </c>
      <c r="C4834" s="230">
        <f>C4796</f>
        <v>0.07</v>
      </c>
      <c r="D4834" s="38"/>
      <c r="E4834" s="38">
        <f>F4833+F4820</f>
        <v>16616.1428429912</v>
      </c>
      <c r="F4834" s="38">
        <f>E4834*C4834</f>
        <v>1163.12999900938</v>
      </c>
    </row>
    <row r="4835" customHeight="1" spans="1:6">
      <c r="A4835" s="7" t="s">
        <v>121</v>
      </c>
      <c r="B4835" s="7" t="s">
        <v>861</v>
      </c>
      <c r="C4835" s="7"/>
      <c r="D4835" s="38"/>
      <c r="E4835" s="38"/>
      <c r="F4835" s="38">
        <f>F4836+F4837</f>
        <v>7104.39529299145</v>
      </c>
    </row>
    <row r="4836" customHeight="1" spans="1:6">
      <c r="A4836" s="7"/>
      <c r="B4836" s="7" t="s">
        <v>1322</v>
      </c>
      <c r="C4836" s="7" t="s">
        <v>169</v>
      </c>
      <c r="D4836" s="38">
        <f>D4798</f>
        <v>3.32234</v>
      </c>
      <c r="E4836" s="38">
        <f>E4826</f>
        <v>116</v>
      </c>
      <c r="F4836" s="38">
        <f>E4836*D4836</f>
        <v>385.39144</v>
      </c>
    </row>
    <row r="4837" customHeight="1" spans="1:6">
      <c r="A4837" s="7"/>
      <c r="B4837" s="336" t="s">
        <v>1319</v>
      </c>
      <c r="C4837" s="39" t="s">
        <v>1320</v>
      </c>
      <c r="D4837" s="38">
        <f>D4799</f>
        <v>15.5173299145299</v>
      </c>
      <c r="E4837" s="38">
        <f>E4827</f>
        <v>433</v>
      </c>
      <c r="F4837" s="38">
        <f>D4837*E4837</f>
        <v>6719.00385299145</v>
      </c>
    </row>
    <row r="4838" customHeight="1" spans="1:6">
      <c r="A4838" s="7" t="s">
        <v>135</v>
      </c>
      <c r="B4838" s="7" t="s">
        <v>849</v>
      </c>
      <c r="C4838" s="231">
        <f>C4800</f>
        <v>0.09</v>
      </c>
      <c r="D4838" s="38"/>
      <c r="E4838" s="34">
        <f>F4835+F4834+F4833+F4820</f>
        <v>24883.668134992</v>
      </c>
      <c r="F4838" s="38">
        <f>E4838*C4838</f>
        <v>2239.53013214928</v>
      </c>
    </row>
    <row r="4839" customHeight="1" spans="1:6">
      <c r="A4839" s="7"/>
      <c r="B4839" s="7" t="s">
        <v>850</v>
      </c>
      <c r="C4839" s="231"/>
      <c r="D4839" s="38"/>
      <c r="E4839" s="34"/>
      <c r="F4839" s="38">
        <f>(E4838+F4838)*取费表!H12</f>
        <v>813.695948014237</v>
      </c>
    </row>
    <row r="4840" customHeight="1" spans="1:6">
      <c r="A4840" s="7"/>
      <c r="B4840" s="7" t="s">
        <v>156</v>
      </c>
      <c r="C4840" s="7"/>
      <c r="D4840" s="38"/>
      <c r="E4840" s="38"/>
      <c r="F4840" s="38">
        <f>F4838+E4838+F4839</f>
        <v>27936.8942151555</v>
      </c>
    </row>
    <row r="4841" customHeight="1" spans="1:6">
      <c r="A4841" s="7"/>
      <c r="B4841" s="7"/>
      <c r="C4841" s="7"/>
      <c r="D4841" s="38"/>
      <c r="E4841" s="38"/>
      <c r="F4841" s="38"/>
    </row>
    <row r="4842" customHeight="1" spans="1:6">
      <c r="A4842" s="7"/>
      <c r="B4842" s="7"/>
      <c r="C4842" s="7"/>
      <c r="D4842" s="38"/>
      <c r="E4842" s="38"/>
      <c r="F4842" s="38"/>
    </row>
    <row r="4843" customHeight="1" spans="1:6">
      <c r="A4843" s="7"/>
      <c r="B4843" s="7"/>
      <c r="C4843" s="7"/>
      <c r="D4843" s="38"/>
      <c r="E4843" s="38"/>
      <c r="F4843" s="38"/>
    </row>
    <row r="4844" customHeight="1" spans="1:6">
      <c r="A4844" s="7"/>
      <c r="B4844" s="7"/>
      <c r="C4844" s="7"/>
      <c r="D4844" s="38"/>
      <c r="E4844" s="38"/>
      <c r="F4844" s="38"/>
    </row>
    <row r="4845" customHeight="1" spans="1:6">
      <c r="A4845" s="7"/>
      <c r="B4845" s="7"/>
      <c r="C4845" s="7"/>
      <c r="D4845" s="38"/>
      <c r="E4845" s="38"/>
      <c r="F4845" s="38"/>
    </row>
    <row r="4846" customHeight="1" spans="1:6">
      <c r="A4846" s="7"/>
      <c r="B4846" s="7"/>
      <c r="C4846" s="7"/>
      <c r="D4846" s="38"/>
      <c r="E4846" s="38"/>
      <c r="F4846" s="38"/>
    </row>
    <row r="4847" customHeight="1" spans="1:6">
      <c r="A4847" s="7"/>
      <c r="B4847" s="7"/>
      <c r="C4847" s="7"/>
      <c r="D4847" s="38"/>
      <c r="E4847" s="38"/>
      <c r="F4847" s="38"/>
    </row>
    <row r="4848" customHeight="1" spans="1:6">
      <c r="A4848" s="7"/>
      <c r="B4848" s="7"/>
      <c r="C4848" s="7"/>
      <c r="D4848" s="38"/>
      <c r="E4848" s="38"/>
      <c r="F4848" s="38"/>
    </row>
    <row r="4849" customHeight="1" spans="1:6">
      <c r="A4849" s="7"/>
      <c r="B4849" s="7"/>
      <c r="C4849" s="7"/>
      <c r="D4849" s="38"/>
      <c r="E4849" s="38"/>
      <c r="F4849" s="38"/>
    </row>
    <row r="4850" customHeight="1" spans="1:6">
      <c r="A4850" s="7"/>
      <c r="B4850" s="7"/>
      <c r="C4850" s="7"/>
      <c r="D4850" s="38"/>
      <c r="E4850" s="38"/>
      <c r="F4850" s="38"/>
    </row>
    <row r="4851" customHeight="1" spans="1:6">
      <c r="A4851" s="7"/>
      <c r="B4851" s="7"/>
      <c r="C4851" s="7"/>
      <c r="D4851" s="38"/>
      <c r="E4851" s="38"/>
      <c r="F4851" s="38"/>
    </row>
    <row r="4852" customHeight="1" spans="1:6">
      <c r="A4852" s="7"/>
      <c r="B4852" s="7"/>
      <c r="C4852" s="7"/>
      <c r="D4852" s="38"/>
      <c r="E4852" s="38"/>
      <c r="F4852" s="38"/>
    </row>
    <row r="4853" customHeight="1" spans="1:6">
      <c r="A4853" s="224" t="s">
        <v>828</v>
      </c>
      <c r="B4853" s="225"/>
      <c r="C4853" s="225"/>
      <c r="D4853" s="225"/>
      <c r="E4853" s="225"/>
      <c r="F4853" s="225"/>
    </row>
    <row r="4854" customHeight="1" spans="1:6">
      <c r="A4854" s="296" t="s">
        <v>1329</v>
      </c>
      <c r="B4854" s="296"/>
      <c r="C4854" s="296"/>
      <c r="D4854" s="296"/>
      <c r="E4854" s="296"/>
      <c r="F4854" s="296"/>
    </row>
    <row r="4855" customHeight="1" spans="1:6">
      <c r="A4855" s="270" t="s">
        <v>1315</v>
      </c>
      <c r="B4855" s="228"/>
      <c r="C4855" s="229"/>
      <c r="D4855" s="229"/>
      <c r="E4855" s="228" t="s">
        <v>832</v>
      </c>
      <c r="F4855" s="228"/>
    </row>
    <row r="4856" customHeight="1" spans="1:6">
      <c r="A4856" s="232" t="s">
        <v>911</v>
      </c>
      <c r="B4856" s="233" t="s">
        <v>1330</v>
      </c>
      <c r="C4856" s="233"/>
      <c r="D4856" s="233"/>
      <c r="E4856" s="233"/>
      <c r="F4856" s="147"/>
    </row>
    <row r="4857" customHeight="1" spans="1:6">
      <c r="A4857" s="7" t="s">
        <v>104</v>
      </c>
      <c r="B4857" s="7" t="s">
        <v>835</v>
      </c>
      <c r="C4857" s="7" t="s">
        <v>159</v>
      </c>
      <c r="D4857" s="7" t="s">
        <v>422</v>
      </c>
      <c r="E4857" s="7" t="s">
        <v>160</v>
      </c>
      <c r="F4857" s="7" t="s">
        <v>18</v>
      </c>
    </row>
    <row r="4858" customHeight="1" spans="1:6">
      <c r="A4858" s="7" t="s">
        <v>836</v>
      </c>
      <c r="B4858" s="7" t="s">
        <v>837</v>
      </c>
      <c r="C4858" s="7"/>
      <c r="D4858" s="7"/>
      <c r="E4858" s="7"/>
      <c r="F4858" s="34">
        <f>F4859+F4869+F4870</f>
        <v>12632.7187782556</v>
      </c>
    </row>
    <row r="4859" customHeight="1" spans="1:6">
      <c r="A4859" s="7" t="s">
        <v>539</v>
      </c>
      <c r="B4859" s="7" t="s">
        <v>838</v>
      </c>
      <c r="C4859" s="7"/>
      <c r="D4859" s="7"/>
      <c r="E4859" s="7"/>
      <c r="F4859" s="34">
        <f>F4860+F4863+F4867</f>
        <v>12054.1209716179</v>
      </c>
    </row>
    <row r="4860" customHeight="1" spans="1:6">
      <c r="A4860" s="7">
        <v>1</v>
      </c>
      <c r="B4860" s="7" t="s">
        <v>839</v>
      </c>
      <c r="C4860" s="7" t="s">
        <v>840</v>
      </c>
      <c r="D4860" s="69"/>
      <c r="E4860" s="42">
        <f>SUM(E4861:E4862)</f>
        <v>416.8</v>
      </c>
      <c r="F4860" s="69">
        <f>SUM(F4861:F4862)</f>
        <v>2696.186</v>
      </c>
    </row>
    <row r="4861" customHeight="1" spans="1:6">
      <c r="A4861" s="7"/>
      <c r="B4861" s="7" t="s">
        <v>841</v>
      </c>
      <c r="C4861" s="7" t="s">
        <v>840</v>
      </c>
      <c r="D4861" s="69">
        <f>D4823</f>
        <v>8.1</v>
      </c>
      <c r="E4861" s="42">
        <v>125</v>
      </c>
      <c r="F4861" s="69">
        <f>D4861*E4861</f>
        <v>1012.5</v>
      </c>
    </row>
    <row r="4862" customHeight="1" spans="1:6">
      <c r="A4862" s="7"/>
      <c r="B4862" s="7" t="s">
        <v>842</v>
      </c>
      <c r="C4862" s="7" t="s">
        <v>840</v>
      </c>
      <c r="D4862" s="69">
        <f>D4824</f>
        <v>5.77</v>
      </c>
      <c r="E4862" s="42">
        <v>291.8</v>
      </c>
      <c r="F4862" s="69">
        <f>D4862*E4862</f>
        <v>1683.686</v>
      </c>
    </row>
    <row r="4863" customHeight="1" spans="1:6">
      <c r="A4863" s="7">
        <v>2</v>
      </c>
      <c r="B4863" s="7" t="s">
        <v>1254</v>
      </c>
      <c r="C4863" s="9"/>
      <c r="D4863" s="38"/>
      <c r="E4863" s="38"/>
      <c r="F4863" s="38">
        <f>SUM(F4864:F4866)</f>
        <v>9297.02307692308</v>
      </c>
    </row>
    <row r="4864" customHeight="1" spans="1:6">
      <c r="A4864" s="7"/>
      <c r="B4864" s="336" t="s">
        <v>1317</v>
      </c>
      <c r="C4864" s="39" t="s">
        <v>1318</v>
      </c>
      <c r="D4864" s="38">
        <v>70</v>
      </c>
      <c r="E4864" s="38">
        <v>116</v>
      </c>
      <c r="F4864" s="38">
        <f>D4864*E4864</f>
        <v>8120</v>
      </c>
    </row>
    <row r="4865" customHeight="1" spans="1:9">
      <c r="A4865" s="7"/>
      <c r="B4865" s="336" t="s">
        <v>1331</v>
      </c>
      <c r="C4865" s="39" t="s">
        <v>1320</v>
      </c>
      <c r="D4865" s="340">
        <f>2.25/1.17</f>
        <v>1.92307692307692</v>
      </c>
      <c r="E4865" s="38">
        <v>588</v>
      </c>
      <c r="F4865" s="38">
        <f>D4865*E4865</f>
        <v>1130.76923076923</v>
      </c>
      <c r="H4865" s="223">
        <f>3.5*2*2+3.5*0.5*2+2*0.5*2+2*0.5</f>
        <v>20.5</v>
      </c>
      <c r="I4865" s="223">
        <f>3.5*2*0.5</f>
        <v>3.5</v>
      </c>
    </row>
    <row r="4866" customHeight="1" spans="1:8">
      <c r="A4866" s="7"/>
      <c r="B4866" s="7" t="s">
        <v>1004</v>
      </c>
      <c r="C4866" s="9" t="s">
        <v>845</v>
      </c>
      <c r="D4866" s="38">
        <f>F4864+F4865</f>
        <v>9250.76923076923</v>
      </c>
      <c r="E4866" s="38">
        <v>0.5</v>
      </c>
      <c r="F4866" s="38">
        <f>D4866*E4866/100</f>
        <v>46.2538461538462</v>
      </c>
      <c r="H4866" s="345">
        <f>H4865/I4865</f>
        <v>5.85714285714286</v>
      </c>
    </row>
    <row r="4867" customHeight="1" spans="1:6">
      <c r="A4867" s="7">
        <v>3</v>
      </c>
      <c r="B4867" s="7" t="s">
        <v>843</v>
      </c>
      <c r="C4867" s="9"/>
      <c r="D4867" s="38"/>
      <c r="E4867" s="38"/>
      <c r="F4867" s="38">
        <f>F4868</f>
        <v>60.9118946948544</v>
      </c>
    </row>
    <row r="4868" customHeight="1" spans="1:6">
      <c r="A4868" s="7"/>
      <c r="B4868" s="39" t="s">
        <v>1321</v>
      </c>
      <c r="C4868" s="7" t="s">
        <v>428</v>
      </c>
      <c r="D4868" s="38">
        <f>D4830</f>
        <v>0.813242919824491</v>
      </c>
      <c r="E4868" s="38">
        <v>74.9</v>
      </c>
      <c r="F4868" s="38">
        <f>D4868*E4868</f>
        <v>60.9118946948544</v>
      </c>
    </row>
    <row r="4869" customHeight="1" spans="1:6">
      <c r="A4869" s="7" t="s">
        <v>564</v>
      </c>
      <c r="B4869" s="7" t="s">
        <v>846</v>
      </c>
      <c r="C4869" s="337">
        <f>取费表!C6</f>
        <v>0.048</v>
      </c>
      <c r="D4869" s="38"/>
      <c r="E4869" s="38">
        <f>F4859</f>
        <v>12054.1209716179</v>
      </c>
      <c r="F4869" s="38">
        <f>E4869*C4869</f>
        <v>578.597806637661</v>
      </c>
    </row>
    <row r="4870" customHeight="1" spans="1:6">
      <c r="A4870" s="7"/>
      <c r="B4870" s="7"/>
      <c r="C4870" s="337"/>
      <c r="D4870" s="38"/>
      <c r="E4870" s="38"/>
      <c r="F4870" s="38"/>
    </row>
    <row r="4871" customHeight="1" spans="1:6">
      <c r="A4871" s="7" t="s">
        <v>439</v>
      </c>
      <c r="B4871" s="7" t="s">
        <v>847</v>
      </c>
      <c r="C4871" s="337">
        <f>取费表!E6</f>
        <v>0.085</v>
      </c>
      <c r="D4871" s="38"/>
      <c r="E4871" s="38">
        <f>F4858</f>
        <v>12632.7187782556</v>
      </c>
      <c r="F4871" s="38">
        <f>E4871*C4871</f>
        <v>1073.78109615173</v>
      </c>
    </row>
    <row r="4872" customHeight="1" spans="1:6">
      <c r="A4872" s="7" t="s">
        <v>83</v>
      </c>
      <c r="B4872" s="7" t="s">
        <v>848</v>
      </c>
      <c r="C4872" s="337">
        <f>取费表!F6</f>
        <v>0.07</v>
      </c>
      <c r="D4872" s="38"/>
      <c r="E4872" s="38">
        <f>F4871+F4858</f>
        <v>13706.4998744073</v>
      </c>
      <c r="F4872" s="38">
        <f>E4872*C4872</f>
        <v>959.454991208512</v>
      </c>
    </row>
    <row r="4873" customHeight="1" spans="1:6">
      <c r="A4873" s="7" t="s">
        <v>121</v>
      </c>
      <c r="B4873" s="7" t="s">
        <v>861</v>
      </c>
      <c r="C4873" s="341"/>
      <c r="D4873" s="38"/>
      <c r="E4873" s="38"/>
      <c r="F4873" s="38">
        <f>F4874+F4875</f>
        <v>3625.5956605582</v>
      </c>
    </row>
    <row r="4874" customHeight="1" spans="1:6">
      <c r="A4874" s="7"/>
      <c r="B4874" s="7" t="s">
        <v>1322</v>
      </c>
      <c r="C4874" s="341" t="s">
        <v>169</v>
      </c>
      <c r="D4874" s="38">
        <f>D4836</f>
        <v>3.32234</v>
      </c>
      <c r="E4874" s="38">
        <f>E4864</f>
        <v>116</v>
      </c>
      <c r="F4874" s="38">
        <f>E4874*D4874</f>
        <v>385.39144</v>
      </c>
    </row>
    <row r="4875" customHeight="1" spans="1:6">
      <c r="A4875" s="7"/>
      <c r="B4875" s="336" t="s">
        <v>1331</v>
      </c>
      <c r="C4875" s="342" t="s">
        <v>1320</v>
      </c>
      <c r="D4875" s="38">
        <f>材料预算价!K25-新定额单价!D4865</f>
        <v>5.51055139550715</v>
      </c>
      <c r="E4875" s="38">
        <f>E4865</f>
        <v>588</v>
      </c>
      <c r="F4875" s="38">
        <f>D4875*E4875</f>
        <v>3240.2042205582</v>
      </c>
    </row>
    <row r="4876" customHeight="1" spans="1:6">
      <c r="A4876" s="7" t="s">
        <v>135</v>
      </c>
      <c r="B4876" s="7" t="s">
        <v>849</v>
      </c>
      <c r="C4876" s="343">
        <f>取费表!G6</f>
        <v>0.09</v>
      </c>
      <c r="D4876" s="38"/>
      <c r="E4876" s="34">
        <f>F4873+F4872+F4871+F4858</f>
        <v>18291.550526174</v>
      </c>
      <c r="F4876" s="38">
        <f>E4876*C4876</f>
        <v>1646.23954735566</v>
      </c>
    </row>
    <row r="4877" customHeight="1" spans="1:6">
      <c r="A4877" s="7"/>
      <c r="B4877" s="7" t="s">
        <v>850</v>
      </c>
      <c r="C4877" s="231"/>
      <c r="D4877" s="38"/>
      <c r="E4877" s="34"/>
      <c r="F4877" s="38">
        <f>(E4876+F4876)*取费表!H12</f>
        <v>598.133702205891</v>
      </c>
    </row>
    <row r="4878" customHeight="1" spans="1:6">
      <c r="A4878" s="7"/>
      <c r="B4878" s="7" t="s">
        <v>156</v>
      </c>
      <c r="C4878" s="7"/>
      <c r="D4878" s="38"/>
      <c r="E4878" s="38"/>
      <c r="F4878" s="38">
        <f>F4876+E4876+F4877</f>
        <v>20535.9237757356</v>
      </c>
    </row>
    <row r="4879" customHeight="1" spans="1:6">
      <c r="A4879" s="7"/>
      <c r="B4879" s="7"/>
      <c r="C4879" s="7"/>
      <c r="D4879" s="38"/>
      <c r="E4879" s="38"/>
      <c r="F4879" s="38"/>
    </row>
    <row r="4880" customHeight="1" spans="1:6">
      <c r="A4880" s="7"/>
      <c r="B4880" s="7"/>
      <c r="C4880" s="7"/>
      <c r="D4880" s="38"/>
      <c r="E4880" s="38"/>
      <c r="F4880" s="38"/>
    </row>
    <row r="4881" customHeight="1" spans="1:6">
      <c r="A4881" s="7"/>
      <c r="B4881" s="7"/>
      <c r="C4881" s="7"/>
      <c r="D4881" s="38"/>
      <c r="E4881" s="38"/>
      <c r="F4881" s="38"/>
    </row>
    <row r="4882" customHeight="1" spans="1:6">
      <c r="A4882" s="7"/>
      <c r="B4882" s="7"/>
      <c r="C4882" s="7"/>
      <c r="D4882" s="38"/>
      <c r="E4882" s="38"/>
      <c r="F4882" s="38"/>
    </row>
    <row r="4883" customHeight="1" spans="1:6">
      <c r="A4883" s="7"/>
      <c r="B4883" s="7"/>
      <c r="C4883" s="7"/>
      <c r="D4883" s="38"/>
      <c r="E4883" s="38"/>
      <c r="F4883" s="38"/>
    </row>
    <row r="4884" customHeight="1" spans="1:6">
      <c r="A4884" s="7"/>
      <c r="B4884" s="7"/>
      <c r="C4884" s="7"/>
      <c r="D4884" s="38"/>
      <c r="E4884" s="38"/>
      <c r="F4884" s="38"/>
    </row>
    <row r="4885" customHeight="1" spans="1:6">
      <c r="A4885" s="7"/>
      <c r="B4885" s="7"/>
      <c r="C4885" s="7"/>
      <c r="D4885" s="38"/>
      <c r="E4885" s="38"/>
      <c r="F4885" s="38"/>
    </row>
    <row r="4886" customHeight="1" spans="1:6">
      <c r="A4886" s="7"/>
      <c r="B4886" s="7"/>
      <c r="C4886" s="7"/>
      <c r="D4886" s="38"/>
      <c r="E4886" s="38"/>
      <c r="F4886" s="38"/>
    </row>
    <row r="4887" customHeight="1" spans="1:6">
      <c r="A4887" s="7"/>
      <c r="B4887" s="7"/>
      <c r="C4887" s="7"/>
      <c r="D4887" s="38"/>
      <c r="E4887" s="38"/>
      <c r="F4887" s="38"/>
    </row>
    <row r="4888" customHeight="1" spans="1:6">
      <c r="A4888" s="7"/>
      <c r="B4888" s="7"/>
      <c r="C4888" s="7"/>
      <c r="D4888" s="38"/>
      <c r="E4888" s="38"/>
      <c r="F4888" s="38"/>
    </row>
    <row r="4889" customHeight="1" spans="1:6">
      <c r="A4889" s="7"/>
      <c r="B4889" s="7"/>
      <c r="C4889" s="7"/>
      <c r="D4889" s="38"/>
      <c r="E4889" s="38"/>
      <c r="F4889" s="38"/>
    </row>
    <row r="4890" customHeight="1" spans="1:6">
      <c r="A4890" s="7"/>
      <c r="B4890" s="7"/>
      <c r="C4890" s="7"/>
      <c r="D4890" s="38"/>
      <c r="E4890" s="38"/>
      <c r="F4890" s="38"/>
    </row>
    <row r="4891" customHeight="1" spans="1:6">
      <c r="A4891" s="224" t="s">
        <v>828</v>
      </c>
      <c r="B4891" s="225"/>
      <c r="C4891" s="225"/>
      <c r="D4891" s="225"/>
      <c r="E4891" s="225"/>
      <c r="F4891" s="225"/>
    </row>
    <row r="4892" customHeight="1" spans="1:6">
      <c r="A4892" s="296" t="s">
        <v>1329</v>
      </c>
      <c r="B4892" s="296"/>
      <c r="C4892" s="296"/>
      <c r="D4892" s="296"/>
      <c r="E4892" s="296"/>
      <c r="F4892" s="296"/>
    </row>
    <row r="4893" customHeight="1" spans="1:6">
      <c r="A4893" s="270" t="s">
        <v>1315</v>
      </c>
      <c r="B4893" s="228"/>
      <c r="C4893" s="229"/>
      <c r="D4893" s="229"/>
      <c r="E4893" s="228" t="s">
        <v>832</v>
      </c>
      <c r="F4893" s="228"/>
    </row>
    <row r="4894" customHeight="1" spans="1:6">
      <c r="A4894" s="232" t="s">
        <v>911</v>
      </c>
      <c r="B4894" s="233" t="s">
        <v>1332</v>
      </c>
      <c r="C4894" s="233"/>
      <c r="D4894" s="233"/>
      <c r="E4894" s="233"/>
      <c r="F4894" s="147"/>
    </row>
    <row r="4895" customHeight="1" spans="1:6">
      <c r="A4895" s="7" t="s">
        <v>104</v>
      </c>
      <c r="B4895" s="7" t="s">
        <v>835</v>
      </c>
      <c r="C4895" s="7" t="s">
        <v>159</v>
      </c>
      <c r="D4895" s="7" t="s">
        <v>422</v>
      </c>
      <c r="E4895" s="7" t="s">
        <v>160</v>
      </c>
      <c r="F4895" s="7" t="s">
        <v>18</v>
      </c>
    </row>
    <row r="4896" customHeight="1" spans="1:6">
      <c r="A4896" s="7" t="s">
        <v>836</v>
      </c>
      <c r="B4896" s="7" t="s">
        <v>837</v>
      </c>
      <c r="C4896" s="7"/>
      <c r="D4896" s="7"/>
      <c r="E4896" s="7"/>
      <c r="F4896" s="34">
        <f>F4897+F4907+F4908</f>
        <v>13693.0478936402</v>
      </c>
    </row>
    <row r="4897" customHeight="1" spans="1:6">
      <c r="A4897" s="7" t="s">
        <v>539</v>
      </c>
      <c r="B4897" s="7" t="s">
        <v>838</v>
      </c>
      <c r="C4897" s="7"/>
      <c r="D4897" s="7"/>
      <c r="E4897" s="7"/>
      <c r="F4897" s="34">
        <f>F4898+F4901+F4905</f>
        <v>13065.8853946949</v>
      </c>
    </row>
    <row r="4898" customHeight="1" spans="1:6">
      <c r="A4898" s="7">
        <v>1</v>
      </c>
      <c r="B4898" s="7" t="s">
        <v>839</v>
      </c>
      <c r="C4898" s="7" t="s">
        <v>840</v>
      </c>
      <c r="D4898" s="69"/>
      <c r="E4898" s="42">
        <f>SUM(E4899:E4900)</f>
        <v>416.8</v>
      </c>
      <c r="F4898" s="69">
        <f>SUM(F4899:F4900)</f>
        <v>2696.186</v>
      </c>
    </row>
    <row r="4899" customHeight="1" spans="1:6">
      <c r="A4899" s="7"/>
      <c r="B4899" s="7" t="s">
        <v>841</v>
      </c>
      <c r="C4899" s="7" t="s">
        <v>840</v>
      </c>
      <c r="D4899" s="69">
        <f>D4861</f>
        <v>8.1</v>
      </c>
      <c r="E4899" s="42">
        <v>125</v>
      </c>
      <c r="F4899" s="69">
        <f>D4899*E4899</f>
        <v>1012.5</v>
      </c>
    </row>
    <row r="4900" customHeight="1" spans="1:6">
      <c r="A4900" s="7"/>
      <c r="B4900" s="7" t="s">
        <v>842</v>
      </c>
      <c r="C4900" s="7" t="s">
        <v>840</v>
      </c>
      <c r="D4900" s="69">
        <f>D4862</f>
        <v>5.77</v>
      </c>
      <c r="E4900" s="42">
        <v>291.8</v>
      </c>
      <c r="F4900" s="69">
        <f>D4900*E4900</f>
        <v>1683.686</v>
      </c>
    </row>
    <row r="4901" customHeight="1" spans="1:6">
      <c r="A4901" s="7">
        <v>2</v>
      </c>
      <c r="B4901" s="7" t="s">
        <v>1254</v>
      </c>
      <c r="C4901" s="9"/>
      <c r="D4901" s="38"/>
      <c r="E4901" s="38"/>
      <c r="F4901" s="38">
        <f>SUM(F4902:F4904)</f>
        <v>10308.7875</v>
      </c>
    </row>
    <row r="4902" customHeight="1" spans="1:9">
      <c r="A4902" s="7"/>
      <c r="B4902" s="336" t="s">
        <v>1317</v>
      </c>
      <c r="C4902" s="39" t="s">
        <v>1318</v>
      </c>
      <c r="D4902" s="38">
        <v>70</v>
      </c>
      <c r="E4902" s="38">
        <v>116</v>
      </c>
      <c r="F4902" s="38">
        <f>D4902*E4902</f>
        <v>8120</v>
      </c>
      <c r="H4902" s="223">
        <f>0.5*0.5*2+0.5*2*2+0.5*2*2+0.5*0.5</f>
        <v>4.75</v>
      </c>
      <c r="I4902" s="223">
        <f>0.5*0.5*2</f>
        <v>0.5</v>
      </c>
    </row>
    <row r="4903" customHeight="1" spans="1:8">
      <c r="A4903" s="7"/>
      <c r="B4903" s="336" t="s">
        <v>1331</v>
      </c>
      <c r="C4903" s="39" t="s">
        <v>1320</v>
      </c>
      <c r="D4903" s="38">
        <f>2.25</f>
        <v>2.25</v>
      </c>
      <c r="E4903" s="38">
        <v>950</v>
      </c>
      <c r="F4903" s="38">
        <f>D4903*E4903</f>
        <v>2137.5</v>
      </c>
      <c r="H4903" s="345">
        <f>H4902/I4902</f>
        <v>9.5</v>
      </c>
    </row>
    <row r="4904" customHeight="1" spans="1:6">
      <c r="A4904" s="7"/>
      <c r="B4904" s="7" t="s">
        <v>1004</v>
      </c>
      <c r="C4904" s="9" t="s">
        <v>845</v>
      </c>
      <c r="D4904" s="38">
        <f>F4902+F4903</f>
        <v>10257.5</v>
      </c>
      <c r="E4904" s="38">
        <v>0.5</v>
      </c>
      <c r="F4904" s="38">
        <f>D4904*E4904/100</f>
        <v>51.2875</v>
      </c>
    </row>
    <row r="4905" customHeight="1" spans="1:6">
      <c r="A4905" s="7">
        <v>3</v>
      </c>
      <c r="B4905" s="7" t="s">
        <v>843</v>
      </c>
      <c r="C4905" s="9"/>
      <c r="D4905" s="38"/>
      <c r="E4905" s="38"/>
      <c r="F4905" s="38">
        <f>F4906</f>
        <v>60.9118946948544</v>
      </c>
    </row>
    <row r="4906" customHeight="1" spans="1:6">
      <c r="A4906" s="7"/>
      <c r="B4906" s="39" t="s">
        <v>1321</v>
      </c>
      <c r="C4906" s="7" t="s">
        <v>428</v>
      </c>
      <c r="D4906" s="38">
        <f>D4868</f>
        <v>0.813242919824491</v>
      </c>
      <c r="E4906" s="38">
        <v>74.9</v>
      </c>
      <c r="F4906" s="38">
        <f>D4906*E4906</f>
        <v>60.9118946948544</v>
      </c>
    </row>
    <row r="4907" customHeight="1" spans="1:6">
      <c r="A4907" s="7" t="s">
        <v>564</v>
      </c>
      <c r="B4907" s="7" t="s">
        <v>846</v>
      </c>
      <c r="C4907" s="337">
        <f>取费表!C6</f>
        <v>0.048</v>
      </c>
      <c r="D4907" s="38"/>
      <c r="E4907" s="38">
        <f>F4897</f>
        <v>13065.8853946949</v>
      </c>
      <c r="F4907" s="38">
        <f>E4907*C4907</f>
        <v>627.162498945353</v>
      </c>
    </row>
    <row r="4908" customHeight="1" spans="1:6">
      <c r="A4908" s="7"/>
      <c r="B4908" s="7"/>
      <c r="C4908" s="337"/>
      <c r="D4908" s="38"/>
      <c r="E4908" s="38"/>
      <c r="F4908" s="38"/>
    </row>
    <row r="4909" customHeight="1" spans="1:6">
      <c r="A4909" s="7" t="s">
        <v>439</v>
      </c>
      <c r="B4909" s="7" t="s">
        <v>847</v>
      </c>
      <c r="C4909" s="337">
        <f>取费表!E6</f>
        <v>0.085</v>
      </c>
      <c r="D4909" s="38"/>
      <c r="E4909" s="38">
        <f>F4896</f>
        <v>13693.0478936402</v>
      </c>
      <c r="F4909" s="38">
        <f>E4909*C4909</f>
        <v>1163.90907095942</v>
      </c>
    </row>
    <row r="4910" customHeight="1" spans="1:6">
      <c r="A4910" s="7" t="s">
        <v>83</v>
      </c>
      <c r="B4910" s="7" t="s">
        <v>848</v>
      </c>
      <c r="C4910" s="337">
        <f>取费表!F6</f>
        <v>0.07</v>
      </c>
      <c r="D4910" s="38"/>
      <c r="E4910" s="38">
        <f>F4909+F4896</f>
        <v>14856.9569645996</v>
      </c>
      <c r="F4910" s="38">
        <f>E4910*C4910</f>
        <v>1039.98698752197</v>
      </c>
    </row>
    <row r="4911" customHeight="1" spans="1:6">
      <c r="A4911" s="7" t="s">
        <v>121</v>
      </c>
      <c r="B4911" s="7" t="s">
        <v>861</v>
      </c>
      <c r="C4911" s="341"/>
      <c r="D4911" s="38"/>
      <c r="E4911" s="38"/>
      <c r="F4911" s="38">
        <f>F4912+F4913</f>
        <v>5620.41526573179</v>
      </c>
    </row>
    <row r="4912" customHeight="1" spans="1:6">
      <c r="A4912" s="7"/>
      <c r="B4912" s="7" t="s">
        <v>1322</v>
      </c>
      <c r="C4912" s="341" t="s">
        <v>169</v>
      </c>
      <c r="D4912" s="38">
        <f>D4874</f>
        <v>3.32234</v>
      </c>
      <c r="E4912" s="38">
        <f>E4902</f>
        <v>116</v>
      </c>
      <c r="F4912" s="38">
        <f>E4912*D4912</f>
        <v>385.39144</v>
      </c>
    </row>
    <row r="4913" customHeight="1" spans="1:6">
      <c r="A4913" s="7"/>
      <c r="B4913" s="336" t="s">
        <v>1331</v>
      </c>
      <c r="C4913" s="342" t="s">
        <v>1320</v>
      </c>
      <c r="D4913" s="38">
        <f>D4875</f>
        <v>5.51055139550715</v>
      </c>
      <c r="E4913" s="38">
        <f>E4903</f>
        <v>950</v>
      </c>
      <c r="F4913" s="38">
        <f>D4913*E4913</f>
        <v>5235.02382573179</v>
      </c>
    </row>
    <row r="4914" customHeight="1" spans="1:6">
      <c r="A4914" s="7" t="s">
        <v>135</v>
      </c>
      <c r="B4914" s="7" t="s">
        <v>849</v>
      </c>
      <c r="C4914" s="343">
        <f>取费表!G6</f>
        <v>0.09</v>
      </c>
      <c r="D4914" s="38"/>
      <c r="E4914" s="34">
        <f>F4911+F4910+F4909+F4896</f>
        <v>21517.3592178534</v>
      </c>
      <c r="F4914" s="38">
        <f>E4914*C4914</f>
        <v>1936.5623296068</v>
      </c>
    </row>
    <row r="4915" customHeight="1" spans="1:6">
      <c r="A4915" s="7"/>
      <c r="B4915" s="7" t="s">
        <v>850</v>
      </c>
      <c r="C4915" s="231"/>
      <c r="D4915" s="38"/>
      <c r="E4915" s="34"/>
      <c r="F4915" s="38">
        <f>(E4914+F4914)*取费表!H6</f>
        <v>703.617646423805</v>
      </c>
    </row>
    <row r="4916" customHeight="1" spans="1:6">
      <c r="A4916" s="7"/>
      <c r="B4916" s="7" t="s">
        <v>156</v>
      </c>
      <c r="C4916" s="7"/>
      <c r="D4916" s="38"/>
      <c r="E4916" s="38"/>
      <c r="F4916" s="38">
        <f>F4914+E4914+F4915</f>
        <v>24157.539193884</v>
      </c>
    </row>
    <row r="4917" customHeight="1" spans="1:6">
      <c r="A4917" s="7"/>
      <c r="B4917" s="7"/>
      <c r="C4917" s="7"/>
      <c r="D4917" s="38"/>
      <c r="E4917" s="38"/>
      <c r="F4917" s="38"/>
    </row>
    <row r="4918" customHeight="1" spans="1:6">
      <c r="A4918" s="7"/>
      <c r="B4918" s="7"/>
      <c r="C4918" s="7"/>
      <c r="D4918" s="38"/>
      <c r="E4918" s="38"/>
      <c r="F4918" s="38"/>
    </row>
    <row r="4919" customHeight="1" spans="1:6">
      <c r="A4919" s="7"/>
      <c r="B4919" s="7"/>
      <c r="C4919" s="7"/>
      <c r="D4919" s="38"/>
      <c r="E4919" s="38"/>
      <c r="F4919" s="38"/>
    </row>
    <row r="4920" customHeight="1" spans="1:6">
      <c r="A4920" s="7"/>
      <c r="B4920" s="7"/>
      <c r="C4920" s="7"/>
      <c r="D4920" s="38"/>
      <c r="E4920" s="38"/>
      <c r="F4920" s="38"/>
    </row>
    <row r="4921" customHeight="1" spans="1:6">
      <c r="A4921" s="7"/>
      <c r="B4921" s="7"/>
      <c r="C4921" s="7"/>
      <c r="D4921" s="38"/>
      <c r="E4921" s="38"/>
      <c r="F4921" s="38"/>
    </row>
    <row r="4922" customHeight="1" spans="1:6">
      <c r="A4922" s="7"/>
      <c r="B4922" s="7"/>
      <c r="C4922" s="7"/>
      <c r="D4922" s="38"/>
      <c r="E4922" s="38"/>
      <c r="F4922" s="38"/>
    </row>
    <row r="4923" customHeight="1" spans="1:6">
      <c r="A4923" s="7"/>
      <c r="B4923" s="7"/>
      <c r="C4923" s="7"/>
      <c r="D4923" s="38"/>
      <c r="E4923" s="38"/>
      <c r="F4923" s="38"/>
    </row>
    <row r="4924" customHeight="1" spans="1:6">
      <c r="A4924" s="7"/>
      <c r="B4924" s="7"/>
      <c r="C4924" s="7"/>
      <c r="D4924" s="38"/>
      <c r="E4924" s="38"/>
      <c r="F4924" s="38"/>
    </row>
    <row r="4925" customHeight="1" spans="1:6">
      <c r="A4925" s="7"/>
      <c r="B4925" s="7"/>
      <c r="C4925" s="7"/>
      <c r="D4925" s="38"/>
      <c r="E4925" s="38"/>
      <c r="F4925" s="38"/>
    </row>
    <row r="4926" customHeight="1" spans="1:6">
      <c r="A4926" s="7"/>
      <c r="B4926" s="7"/>
      <c r="C4926" s="7"/>
      <c r="D4926" s="38"/>
      <c r="E4926" s="38"/>
      <c r="F4926" s="38"/>
    </row>
    <row r="4927" customHeight="1" spans="1:6">
      <c r="A4927" s="7"/>
      <c r="B4927" s="7"/>
      <c r="C4927" s="7"/>
      <c r="D4927" s="38"/>
      <c r="E4927" s="38"/>
      <c r="F4927" s="38"/>
    </row>
    <row r="4928" customHeight="1" spans="1:6">
      <c r="A4928" s="7"/>
      <c r="B4928" s="7"/>
      <c r="C4928" s="7"/>
      <c r="D4928" s="38"/>
      <c r="E4928" s="38"/>
      <c r="F4928" s="38"/>
    </row>
    <row r="4929" customHeight="1" spans="1:6">
      <c r="A4929" s="224" t="s">
        <v>828</v>
      </c>
      <c r="B4929" s="225"/>
      <c r="C4929" s="225"/>
      <c r="D4929" s="225"/>
      <c r="E4929" s="225"/>
      <c r="F4929" s="225"/>
    </row>
    <row r="4930" customHeight="1" spans="1:6">
      <c r="A4930" s="296" t="s">
        <v>1325</v>
      </c>
      <c r="B4930" s="296"/>
      <c r="C4930" s="296"/>
      <c r="D4930" s="296"/>
      <c r="E4930" s="296"/>
      <c r="F4930" s="296"/>
    </row>
    <row r="4931" customHeight="1" spans="1:6">
      <c r="A4931" s="346" t="s">
        <v>1315</v>
      </c>
      <c r="B4931" s="228"/>
      <c r="C4931" s="229"/>
      <c r="D4931" s="229"/>
      <c r="E4931" s="228" t="s">
        <v>832</v>
      </c>
      <c r="F4931" s="228"/>
    </row>
    <row r="4932" customHeight="1" spans="1:6">
      <c r="A4932" s="232" t="s">
        <v>911</v>
      </c>
      <c r="B4932" s="233" t="s">
        <v>1333</v>
      </c>
      <c r="C4932" s="233"/>
      <c r="D4932" s="233"/>
      <c r="E4932" s="233"/>
      <c r="F4932" s="147"/>
    </row>
    <row r="4933" customHeight="1" spans="1:6">
      <c r="A4933" s="7" t="s">
        <v>104</v>
      </c>
      <c r="B4933" s="7" t="s">
        <v>835</v>
      </c>
      <c r="C4933" s="7" t="s">
        <v>159</v>
      </c>
      <c r="D4933" s="7" t="s">
        <v>422</v>
      </c>
      <c r="E4933" s="7" t="s">
        <v>160</v>
      </c>
      <c r="F4933" s="7" t="s">
        <v>18</v>
      </c>
    </row>
    <row r="4934" customHeight="1" spans="1:6">
      <c r="A4934" s="7" t="s">
        <v>836</v>
      </c>
      <c r="B4934" s="7" t="s">
        <v>837</v>
      </c>
      <c r="C4934" s="7"/>
      <c r="D4934" s="7"/>
      <c r="E4934" s="7"/>
      <c r="F4934" s="34">
        <f>F4935+F4945+F4946</f>
        <v>12214.0989318534</v>
      </c>
    </row>
    <row r="4935" customHeight="1" spans="1:6">
      <c r="A4935" s="7" t="s">
        <v>539</v>
      </c>
      <c r="B4935" s="7" t="s">
        <v>838</v>
      </c>
      <c r="C4935" s="7"/>
      <c r="D4935" s="7"/>
      <c r="E4935" s="7"/>
      <c r="F4935" s="34">
        <f>F4936+F4939+F4943</f>
        <v>11654.6745532952</v>
      </c>
    </row>
    <row r="4936" customHeight="1" spans="1:6">
      <c r="A4936" s="7">
        <v>1</v>
      </c>
      <c r="B4936" s="7" t="s">
        <v>839</v>
      </c>
      <c r="C4936" s="7" t="s">
        <v>840</v>
      </c>
      <c r="D4936" s="69"/>
      <c r="E4936" s="42">
        <f>SUM(E4937:E4938)</f>
        <v>304.1</v>
      </c>
      <c r="F4936" s="69">
        <f>SUM(F4937:F4938)</f>
        <v>1754.657</v>
      </c>
    </row>
    <row r="4937" customHeight="1" spans="1:6">
      <c r="A4937" s="7"/>
      <c r="B4937" s="7" t="s">
        <v>841</v>
      </c>
      <c r="C4937" s="7" t="s">
        <v>840</v>
      </c>
      <c r="D4937" s="69">
        <f>D4861</f>
        <v>8.1</v>
      </c>
      <c r="E4937" s="42"/>
      <c r="F4937" s="69">
        <f>D4937*E4937</f>
        <v>0</v>
      </c>
    </row>
    <row r="4938" customHeight="1" spans="1:6">
      <c r="A4938" s="7"/>
      <c r="B4938" s="7" t="s">
        <v>842</v>
      </c>
      <c r="C4938" s="7" t="s">
        <v>840</v>
      </c>
      <c r="D4938" s="69">
        <f>D4862</f>
        <v>5.77</v>
      </c>
      <c r="E4938" s="42">
        <v>304.1</v>
      </c>
      <c r="F4938" s="69">
        <f>D4938*E4938</f>
        <v>1754.657</v>
      </c>
    </row>
    <row r="4939" customHeight="1" spans="1:6">
      <c r="A4939" s="7">
        <v>2</v>
      </c>
      <c r="B4939" s="7" t="s">
        <v>1254</v>
      </c>
      <c r="C4939" s="9"/>
      <c r="D4939" s="38"/>
      <c r="E4939" s="38"/>
      <c r="F4939" s="38">
        <f>SUM(F4940:F4942)</f>
        <v>9849.02722222222</v>
      </c>
    </row>
    <row r="4940" customHeight="1" spans="1:6">
      <c r="A4940" s="7"/>
      <c r="B4940" s="336" t="s">
        <v>1317</v>
      </c>
      <c r="C4940" s="39" t="s">
        <v>1318</v>
      </c>
      <c r="D4940" s="38">
        <v>70</v>
      </c>
      <c r="E4940" s="38">
        <v>103</v>
      </c>
      <c r="F4940" s="38">
        <f>D4940*E4940</f>
        <v>7210</v>
      </c>
    </row>
    <row r="4941" customHeight="1" spans="1:9">
      <c r="A4941" s="7"/>
      <c r="B4941" s="336" t="s">
        <v>1319</v>
      </c>
      <c r="C4941" s="39" t="s">
        <v>1320</v>
      </c>
      <c r="D4941" s="38">
        <f>5.95/1.17</f>
        <v>5.08547008547009</v>
      </c>
      <c r="E4941" s="38">
        <v>517</v>
      </c>
      <c r="F4941" s="38">
        <f>D4941*E4941</f>
        <v>2629.18803418803</v>
      </c>
      <c r="H4941" s="223">
        <f>2*1*2+2*1.2*2+1*1.2*2+1*1.2</f>
        <v>12.4</v>
      </c>
      <c r="I4941" s="223">
        <f>2*1*1.2</f>
        <v>2.4</v>
      </c>
    </row>
    <row r="4942" customHeight="1" spans="1:8">
      <c r="A4942" s="7"/>
      <c r="B4942" s="7" t="s">
        <v>1004</v>
      </c>
      <c r="C4942" s="9" t="s">
        <v>845</v>
      </c>
      <c r="D4942" s="38">
        <f>F4940+F4941</f>
        <v>9839.18803418804</v>
      </c>
      <c r="E4942" s="38">
        <v>0.1</v>
      </c>
      <c r="F4942" s="38">
        <f>D4942*E4942/100</f>
        <v>9.83918803418804</v>
      </c>
      <c r="H4942" s="223">
        <f>H4941/I4941</f>
        <v>5.16666666666667</v>
      </c>
    </row>
    <row r="4943" customHeight="1" spans="1:6">
      <c r="A4943" s="7">
        <v>3</v>
      </c>
      <c r="B4943" s="7" t="s">
        <v>843</v>
      </c>
      <c r="C4943" s="9"/>
      <c r="D4943" s="38"/>
      <c r="E4943" s="38"/>
      <c r="F4943" s="38">
        <f>F4944</f>
        <v>50.9903310729956</v>
      </c>
    </row>
    <row r="4944" customHeight="1" spans="1:6">
      <c r="A4944" s="7"/>
      <c r="B4944" s="39" t="s">
        <v>1321</v>
      </c>
      <c r="C4944" s="7" t="s">
        <v>428</v>
      </c>
      <c r="D4944" s="38">
        <f>D4868</f>
        <v>0.813242919824491</v>
      </c>
      <c r="E4944" s="38">
        <v>62.7</v>
      </c>
      <c r="F4944" s="38">
        <f>D4944*E4944</f>
        <v>50.9903310729956</v>
      </c>
    </row>
    <row r="4945" customHeight="1" spans="1:6">
      <c r="A4945" s="7" t="s">
        <v>564</v>
      </c>
      <c r="B4945" s="7" t="s">
        <v>846</v>
      </c>
      <c r="C4945" s="230">
        <f>C4869</f>
        <v>0.048</v>
      </c>
      <c r="D4945" s="38"/>
      <c r="E4945" s="38">
        <f>F4935</f>
        <v>11654.6745532952</v>
      </c>
      <c r="F4945" s="38">
        <f>E4945*C4945</f>
        <v>559.42437855817</v>
      </c>
    </row>
    <row r="4946" customHeight="1" spans="1:6">
      <c r="A4946" s="7"/>
      <c r="B4946" s="7"/>
      <c r="C4946" s="230"/>
      <c r="D4946" s="38"/>
      <c r="E4946" s="38"/>
      <c r="F4946" s="38"/>
    </row>
    <row r="4947" customHeight="1" spans="1:6">
      <c r="A4947" s="7" t="s">
        <v>439</v>
      </c>
      <c r="B4947" s="7" t="s">
        <v>847</v>
      </c>
      <c r="C4947" s="230">
        <f>C4871</f>
        <v>0.085</v>
      </c>
      <c r="D4947" s="38"/>
      <c r="E4947" s="38">
        <f>F4934</f>
        <v>12214.0989318534</v>
      </c>
      <c r="F4947" s="38">
        <f>E4947*C4947</f>
        <v>1038.19840920754</v>
      </c>
    </row>
    <row r="4948" customHeight="1" spans="1:6">
      <c r="A4948" s="7" t="s">
        <v>83</v>
      </c>
      <c r="B4948" s="7" t="s">
        <v>848</v>
      </c>
      <c r="C4948" s="230">
        <f>C4872</f>
        <v>0.07</v>
      </c>
      <c r="D4948" s="38"/>
      <c r="E4948" s="38">
        <f>F4947+F4934</f>
        <v>13252.2973410609</v>
      </c>
      <c r="F4948" s="38">
        <f>E4948*C4948</f>
        <v>927.660813874265</v>
      </c>
    </row>
    <row r="4949" customHeight="1" spans="1:6">
      <c r="A4949" s="7" t="s">
        <v>121</v>
      </c>
      <c r="B4949" s="7" t="s">
        <v>861</v>
      </c>
      <c r="C4949" s="7"/>
      <c r="D4949" s="38"/>
      <c r="E4949" s="38"/>
      <c r="F4949" s="38">
        <f>F4950+F4951</f>
        <v>8364.66058581196</v>
      </c>
    </row>
    <row r="4950" customHeight="1" spans="1:6">
      <c r="A4950" s="7"/>
      <c r="B4950" s="7" t="s">
        <v>1322</v>
      </c>
      <c r="C4950" s="7" t="s">
        <v>169</v>
      </c>
      <c r="D4950" s="38">
        <f>D4874</f>
        <v>3.32234</v>
      </c>
      <c r="E4950" s="38">
        <f>E4940</f>
        <v>103</v>
      </c>
      <c r="F4950" s="38">
        <f>E4950*D4950</f>
        <v>342.20102</v>
      </c>
    </row>
    <row r="4951" customHeight="1" spans="1:6">
      <c r="A4951" s="7"/>
      <c r="B4951" s="336" t="s">
        <v>1319</v>
      </c>
      <c r="C4951" s="39" t="s">
        <v>1320</v>
      </c>
      <c r="D4951" s="347">
        <f>材料预算价!K24-新定额单价!D4941</f>
        <v>15.5173299145299</v>
      </c>
      <c r="E4951" s="38">
        <f>E4941</f>
        <v>517</v>
      </c>
      <c r="F4951" s="38">
        <f>D4951*E4951</f>
        <v>8022.45956581196</v>
      </c>
    </row>
    <row r="4952" customHeight="1" spans="1:6">
      <c r="A4952" s="7" t="s">
        <v>135</v>
      </c>
      <c r="B4952" s="7" t="s">
        <v>849</v>
      </c>
      <c r="C4952" s="231">
        <f>C4876</f>
        <v>0.09</v>
      </c>
      <c r="D4952" s="38"/>
      <c r="E4952" s="34">
        <f>F4949+F4948+F4947+F4934</f>
        <v>22544.6187407472</v>
      </c>
      <c r="F4952" s="38">
        <f>E4952*C4952</f>
        <v>2029.01568666724</v>
      </c>
    </row>
    <row r="4953" customHeight="1" spans="1:6">
      <c r="A4953" s="7"/>
      <c r="B4953" s="7" t="s">
        <v>850</v>
      </c>
      <c r="C4953" s="231"/>
      <c r="D4953" s="38"/>
      <c r="E4953" s="34"/>
      <c r="F4953" s="38">
        <f>(E4952+F4952)*取费表!H12</f>
        <v>737.209032822432</v>
      </c>
    </row>
    <row r="4954" customHeight="1" spans="1:6">
      <c r="A4954" s="7"/>
      <c r="B4954" s="7" t="s">
        <v>156</v>
      </c>
      <c r="C4954" s="7"/>
      <c r="D4954" s="38"/>
      <c r="E4954" s="38"/>
      <c r="F4954" s="338">
        <f>F4952+E4952+F4953</f>
        <v>25310.8434602368</v>
      </c>
    </row>
    <row r="4955" customHeight="1" spans="1:6">
      <c r="A4955" s="7"/>
      <c r="B4955" s="7"/>
      <c r="C4955" s="7"/>
      <c r="D4955" s="38"/>
      <c r="E4955" s="38"/>
      <c r="F4955" s="38"/>
    </row>
    <row r="4956" customHeight="1" spans="1:6">
      <c r="A4956" s="7"/>
      <c r="B4956" s="7"/>
      <c r="C4956" s="7"/>
      <c r="D4956" s="38"/>
      <c r="E4956" s="38"/>
      <c r="F4956" s="38"/>
    </row>
    <row r="4957" customHeight="1" spans="1:6">
      <c r="A4957" s="7"/>
      <c r="B4957" s="7"/>
      <c r="C4957" s="7"/>
      <c r="D4957" s="38"/>
      <c r="E4957" s="38"/>
      <c r="F4957" s="38"/>
    </row>
    <row r="4958" customHeight="1" spans="1:6">
      <c r="A4958" s="7"/>
      <c r="B4958" s="7"/>
      <c r="C4958" s="7"/>
      <c r="D4958" s="38"/>
      <c r="E4958" s="38"/>
      <c r="F4958" s="38"/>
    </row>
    <row r="4959" customHeight="1" spans="1:6">
      <c r="A4959" s="7"/>
      <c r="B4959" s="7"/>
      <c r="C4959" s="7"/>
      <c r="D4959" s="38"/>
      <c r="E4959" s="38"/>
      <c r="F4959" s="38"/>
    </row>
    <row r="4960" customHeight="1" spans="1:6">
      <c r="A4960" s="7"/>
      <c r="B4960" s="7"/>
      <c r="C4960" s="7"/>
      <c r="D4960" s="38"/>
      <c r="E4960" s="38"/>
      <c r="F4960" s="38"/>
    </row>
    <row r="4961" customHeight="1" spans="1:6">
      <c r="A4961" s="7"/>
      <c r="B4961" s="7"/>
      <c r="C4961" s="7"/>
      <c r="D4961" s="38"/>
      <c r="E4961" s="38"/>
      <c r="F4961" s="38"/>
    </row>
    <row r="4962" customHeight="1" spans="1:6">
      <c r="A4962" s="7"/>
      <c r="B4962" s="7"/>
      <c r="C4962" s="7"/>
      <c r="D4962" s="38"/>
      <c r="E4962" s="38"/>
      <c r="F4962" s="38"/>
    </row>
    <row r="4963" customHeight="1" spans="1:6">
      <c r="A4963" s="7"/>
      <c r="B4963" s="7"/>
      <c r="C4963" s="7"/>
      <c r="D4963" s="38"/>
      <c r="E4963" s="38"/>
      <c r="F4963" s="38"/>
    </row>
    <row r="4964" customHeight="1" spans="1:6">
      <c r="A4964" s="7"/>
      <c r="B4964" s="7"/>
      <c r="C4964" s="7"/>
      <c r="D4964" s="38"/>
      <c r="E4964" s="38"/>
      <c r="F4964" s="38"/>
    </row>
    <row r="4965" customHeight="1" spans="1:6">
      <c r="A4965" s="7"/>
      <c r="B4965" s="7"/>
      <c r="C4965" s="7"/>
      <c r="D4965" s="38"/>
      <c r="E4965" s="38"/>
      <c r="F4965" s="38"/>
    </row>
    <row r="4966" customHeight="1" spans="1:6">
      <c r="A4966" s="7"/>
      <c r="B4966" s="7"/>
      <c r="C4966" s="7"/>
      <c r="D4966" s="38"/>
      <c r="E4966" s="38"/>
      <c r="F4966" s="38"/>
    </row>
    <row r="4967" customHeight="1" spans="1:6">
      <c r="A4967" s="248" t="s">
        <v>881</v>
      </c>
      <c r="B4967" s="225"/>
      <c r="C4967" s="225"/>
      <c r="D4967" s="225"/>
      <c r="E4967" s="225"/>
      <c r="F4967" s="225"/>
    </row>
    <row r="4968" customHeight="1" spans="1:6">
      <c r="A4968" s="278" t="s">
        <v>1334</v>
      </c>
      <c r="B4968" s="272"/>
      <c r="C4968" s="272"/>
      <c r="D4968" s="272"/>
      <c r="E4968" s="272"/>
      <c r="F4968" s="272"/>
    </row>
    <row r="4969" customHeight="1" spans="1:6">
      <c r="A4969" s="228" t="s">
        <v>1335</v>
      </c>
      <c r="B4969" s="228"/>
      <c r="C4969" s="229"/>
      <c r="D4969" s="229"/>
      <c r="E4969" s="228" t="s">
        <v>832</v>
      </c>
      <c r="F4969" s="228"/>
    </row>
    <row r="4970" customHeight="1" spans="1:6">
      <c r="A4970" s="232" t="s">
        <v>959</v>
      </c>
      <c r="B4970" s="233"/>
      <c r="C4970" s="233"/>
      <c r="D4970" s="233"/>
      <c r="E4970" s="233"/>
      <c r="F4970" s="147"/>
    </row>
    <row r="4971" customHeight="1" spans="1:6">
      <c r="A4971" s="7" t="s">
        <v>104</v>
      </c>
      <c r="B4971" s="7" t="s">
        <v>835</v>
      </c>
      <c r="C4971" s="7" t="s">
        <v>159</v>
      </c>
      <c r="D4971" s="7" t="s">
        <v>422</v>
      </c>
      <c r="E4971" s="7" t="s">
        <v>160</v>
      </c>
      <c r="F4971" s="7" t="s">
        <v>18</v>
      </c>
    </row>
    <row r="4972" customHeight="1" spans="1:6">
      <c r="A4972" s="7" t="s">
        <v>836</v>
      </c>
      <c r="B4972" s="7" t="s">
        <v>837</v>
      </c>
      <c r="C4972" s="7"/>
      <c r="D4972" s="7"/>
      <c r="E4972" s="7"/>
      <c r="F4972" s="34">
        <f>F4973+F4988+F4989</f>
        <v>33962.2111998934</v>
      </c>
    </row>
    <row r="4973" customHeight="1" spans="1:6">
      <c r="A4973" s="7" t="s">
        <v>539</v>
      </c>
      <c r="B4973" s="7" t="s">
        <v>838</v>
      </c>
      <c r="C4973" s="7"/>
      <c r="D4973" s="7"/>
      <c r="E4973" s="7"/>
      <c r="F4973" s="34">
        <f>F4974+F4978+F4982</f>
        <v>32406.6900762342</v>
      </c>
    </row>
    <row r="4974" customHeight="1" spans="1:6">
      <c r="A4974" s="7">
        <v>1</v>
      </c>
      <c r="B4974" s="7" t="s">
        <v>839</v>
      </c>
      <c r="C4974" s="7" t="s">
        <v>840</v>
      </c>
      <c r="D4974" s="34"/>
      <c r="E4974" s="42">
        <f>SUM(E4975:E4976)</f>
        <v>964.5</v>
      </c>
      <c r="F4974" s="69">
        <f>SUM(F4975:F4976)</f>
        <v>6464.079</v>
      </c>
    </row>
    <row r="4975" customHeight="1" spans="1:6">
      <c r="A4975" s="7"/>
      <c r="B4975" s="7" t="s">
        <v>841</v>
      </c>
      <c r="C4975" s="7" t="s">
        <v>840</v>
      </c>
      <c r="D4975" s="69">
        <f>D4937</f>
        <v>8.1</v>
      </c>
      <c r="E4975" s="42">
        <v>385.8</v>
      </c>
      <c r="F4975" s="69">
        <f t="shared" ref="F4975:F4980" si="260">D4975*E4975</f>
        <v>3124.98</v>
      </c>
    </row>
    <row r="4976" customHeight="1" spans="1:6">
      <c r="A4976" s="7"/>
      <c r="B4976" s="7" t="s">
        <v>842</v>
      </c>
      <c r="C4976" s="7" t="s">
        <v>840</v>
      </c>
      <c r="D4976" s="69">
        <f>D4938</f>
        <v>5.77</v>
      </c>
      <c r="E4976" s="42">
        <v>578.7</v>
      </c>
      <c r="F4976" s="69">
        <f t="shared" si="260"/>
        <v>3339.099</v>
      </c>
    </row>
    <row r="4977" customHeight="1" spans="1:6">
      <c r="A4977" s="7"/>
      <c r="B4977" s="229"/>
      <c r="C4977" s="7"/>
      <c r="D4977" s="69"/>
      <c r="E4977" s="34"/>
      <c r="F4977" s="34"/>
    </row>
    <row r="4978" customHeight="1" spans="1:6">
      <c r="A4978" s="7">
        <v>2</v>
      </c>
      <c r="B4978" s="7" t="s">
        <v>912</v>
      </c>
      <c r="C4978" s="7"/>
      <c r="D4978" s="34"/>
      <c r="E4978" s="34"/>
      <c r="F4978" s="34">
        <f>SUM(F4979:F4981)</f>
        <v>24468.79194573</v>
      </c>
    </row>
    <row r="4979" customHeight="1" spans="1:6">
      <c r="A4979" s="7"/>
      <c r="B4979" s="7" t="s">
        <v>1025</v>
      </c>
      <c r="C4979" s="7" t="s">
        <v>169</v>
      </c>
      <c r="D4979" s="34">
        <f>配合比!M11</f>
        <v>188.0418245</v>
      </c>
      <c r="E4979" s="34">
        <v>127</v>
      </c>
      <c r="F4979" s="34">
        <f t="shared" si="260"/>
        <v>23881.3117115</v>
      </c>
    </row>
    <row r="4980" customHeight="1" spans="1:6">
      <c r="A4980" s="7"/>
      <c r="B4980" s="7" t="s">
        <v>913</v>
      </c>
      <c r="C4980" s="7" t="s">
        <v>169</v>
      </c>
      <c r="D4980" s="34">
        <f>材料预算价!K13</f>
        <v>3.59</v>
      </c>
      <c r="E4980" s="34">
        <v>30</v>
      </c>
      <c r="F4980" s="34">
        <f t="shared" si="260"/>
        <v>107.7</v>
      </c>
    </row>
    <row r="4981" customHeight="1" spans="1:6">
      <c r="A4981" s="7"/>
      <c r="B4981" s="7" t="s">
        <v>1004</v>
      </c>
      <c r="C4981" s="9" t="s">
        <v>845</v>
      </c>
      <c r="D4981" s="34">
        <f>SUM(F4979:F4980)</f>
        <v>23989.0117115</v>
      </c>
      <c r="E4981" s="34">
        <v>2</v>
      </c>
      <c r="F4981" s="34">
        <f>D4981*E4981/100</f>
        <v>479.78023423</v>
      </c>
    </row>
    <row r="4982" customHeight="1" spans="1:6">
      <c r="A4982" s="7">
        <v>3</v>
      </c>
      <c r="B4982" s="7" t="s">
        <v>859</v>
      </c>
      <c r="C4982" s="7"/>
      <c r="D4982" s="34"/>
      <c r="E4982" s="34"/>
      <c r="F4982" s="34">
        <f>SUM(F4983:F4987)</f>
        <v>1473.81913050419</v>
      </c>
    </row>
    <row r="4983" customHeight="1" spans="1:6">
      <c r="A4983" s="7"/>
      <c r="B4983" s="279" t="s">
        <v>1079</v>
      </c>
      <c r="C4983" s="7" t="s">
        <v>428</v>
      </c>
      <c r="D4983" s="34">
        <f>台时!D42</f>
        <v>23.9179521340247</v>
      </c>
      <c r="E4983" s="34">
        <v>22.8</v>
      </c>
      <c r="F4983" s="34">
        <f>D4983*E4983</f>
        <v>545.329308655764</v>
      </c>
    </row>
    <row r="4984" customHeight="1" spans="1:6">
      <c r="A4984" s="7"/>
      <c r="B4984" s="7" t="s">
        <v>967</v>
      </c>
      <c r="C4984" s="7" t="s">
        <v>428</v>
      </c>
      <c r="D4984" s="34">
        <f>台时!C42</f>
        <v>0.813242919824491</v>
      </c>
      <c r="E4984" s="251">
        <v>105.4</v>
      </c>
      <c r="F4984" s="34">
        <f>D4984*E4984</f>
        <v>85.7158037495014</v>
      </c>
    </row>
    <row r="4985" customHeight="1" spans="1:6">
      <c r="A4985" s="7"/>
      <c r="B4985" s="273" t="s">
        <v>1336</v>
      </c>
      <c r="C4985" s="7" t="s">
        <v>428</v>
      </c>
      <c r="D4985" s="34">
        <f>台时!H63</f>
        <v>18.4138288791384</v>
      </c>
      <c r="E4985" s="251">
        <v>37</v>
      </c>
      <c r="F4985" s="34">
        <f>D4985*E4985</f>
        <v>681.311668528121</v>
      </c>
    </row>
    <row r="4986" customHeight="1" spans="1:6">
      <c r="A4986" s="7"/>
      <c r="B4986" s="7" t="s">
        <v>1005</v>
      </c>
      <c r="C4986" s="273" t="s">
        <v>428</v>
      </c>
      <c r="D4986" s="34">
        <f>台时!H42</f>
        <v>49.389824491424</v>
      </c>
      <c r="E4986" s="251">
        <v>2.4</v>
      </c>
      <c r="F4986" s="34">
        <f>D4986*E4986</f>
        <v>118.535578779418</v>
      </c>
    </row>
    <row r="4987" customHeight="1" spans="1:6">
      <c r="A4987" s="7"/>
      <c r="B4987" s="7" t="s">
        <v>918</v>
      </c>
      <c r="C4987" s="9" t="s">
        <v>845</v>
      </c>
      <c r="D4987" s="34">
        <f>SUM(F4983:F4986)</f>
        <v>1430.8923597128</v>
      </c>
      <c r="E4987" s="247">
        <v>3</v>
      </c>
      <c r="F4987" s="34">
        <f>D4987*E4987/100</f>
        <v>42.9267707913841</v>
      </c>
    </row>
    <row r="4988" customHeight="1" spans="1:6">
      <c r="A4988" s="7" t="s">
        <v>564</v>
      </c>
      <c r="B4988" s="7" t="s">
        <v>846</v>
      </c>
      <c r="C4988" s="230">
        <f>取费表!C9</f>
        <v>0.048</v>
      </c>
      <c r="D4988" s="34"/>
      <c r="E4988" s="247">
        <f>F4973</f>
        <v>32406.6900762342</v>
      </c>
      <c r="F4988" s="34">
        <f>E4988*C4988</f>
        <v>1555.52112365924</v>
      </c>
    </row>
    <row r="4989" customHeight="1" spans="1:6">
      <c r="A4989" s="7"/>
      <c r="B4989" s="7"/>
      <c r="C4989" s="230"/>
      <c r="D4989" s="34"/>
      <c r="E4989" s="247"/>
      <c r="F4989" s="34"/>
    </row>
    <row r="4990" customHeight="1" spans="1:6">
      <c r="A4990" s="7" t="s">
        <v>439</v>
      </c>
      <c r="B4990" s="7" t="s">
        <v>847</v>
      </c>
      <c r="C4990" s="230">
        <f>取费表!E9</f>
        <v>0.0925</v>
      </c>
      <c r="D4990" s="34"/>
      <c r="E4990" s="247">
        <f>F4972</f>
        <v>33962.2111998934</v>
      </c>
      <c r="F4990" s="34">
        <f>E4990*C4990</f>
        <v>3141.50453599014</v>
      </c>
    </row>
    <row r="4991" customHeight="1" spans="1:6">
      <c r="A4991" s="7" t="s">
        <v>83</v>
      </c>
      <c r="B4991" s="7" t="s">
        <v>848</v>
      </c>
      <c r="C4991" s="230">
        <f>取费表!F9</f>
        <v>0.07</v>
      </c>
      <c r="D4991" s="34"/>
      <c r="E4991" s="247">
        <f>F4990+F4972</f>
        <v>37103.7157358836</v>
      </c>
      <c r="F4991" s="34">
        <f>E4991*C4991</f>
        <v>2597.26010151185</v>
      </c>
    </row>
    <row r="4992" customHeight="1" spans="1:6">
      <c r="A4992" s="7" t="s">
        <v>121</v>
      </c>
      <c r="B4992" s="7" t="s">
        <v>861</v>
      </c>
      <c r="C4992" s="9"/>
      <c r="D4992" s="34"/>
      <c r="E4992" s="7"/>
      <c r="F4992" s="69">
        <f>F4993+F4998</f>
        <v>17718.1125166869</v>
      </c>
    </row>
    <row r="4993" customHeight="1" spans="1:6">
      <c r="A4993" s="7">
        <v>1</v>
      </c>
      <c r="B4993" s="7" t="s">
        <v>1011</v>
      </c>
      <c r="C4993" s="9"/>
      <c r="D4993" s="34"/>
      <c r="E4993" s="7"/>
      <c r="F4993" s="69">
        <f>SUM(F4994:F4997)</f>
        <v>17615.7285166869</v>
      </c>
    </row>
    <row r="4994" customHeight="1" spans="1:6">
      <c r="A4994" s="7"/>
      <c r="B4994" s="7"/>
      <c r="C4994" s="7"/>
      <c r="D4994" s="34"/>
      <c r="E4994" s="34"/>
      <c r="F4994" s="69"/>
    </row>
    <row r="4995" customHeight="1" spans="1:6">
      <c r="A4995" s="7"/>
      <c r="B4995" s="7" t="s">
        <v>983</v>
      </c>
      <c r="C4995" s="7" t="s">
        <v>200</v>
      </c>
      <c r="D4995" s="34">
        <f>材料预算价!K6-材料预算价!L6</f>
        <v>265.23946</v>
      </c>
      <c r="E4995" s="34">
        <f>E4979*配合比!E11</f>
        <v>46.33849</v>
      </c>
      <c r="F4995" s="69">
        <f>D4995*E4995</f>
        <v>12290.7960648154</v>
      </c>
    </row>
    <row r="4996" customHeight="1" spans="1:6">
      <c r="A4996" s="7"/>
      <c r="B4996" s="7" t="s">
        <v>961</v>
      </c>
      <c r="C4996" s="7" t="s">
        <v>169</v>
      </c>
      <c r="D4996" s="34">
        <f>材料预算价!K7-材料预算价!L7</f>
        <v>34.366056</v>
      </c>
      <c r="E4996" s="34">
        <f>E4979*配合比!G11</f>
        <v>64.34582</v>
      </c>
      <c r="F4996" s="69">
        <f>D4996*E4996</f>
        <v>2211.31205348592</v>
      </c>
    </row>
    <row r="4997" customHeight="1" spans="1:6">
      <c r="A4997" s="7"/>
      <c r="B4997" s="7" t="s">
        <v>1012</v>
      </c>
      <c r="C4997" s="7" t="s">
        <v>169</v>
      </c>
      <c r="D4997" s="34">
        <f>材料预算价!K8-材料预算价!L8</f>
        <v>29.13701</v>
      </c>
      <c r="E4997" s="34">
        <f>E4979*配合比!I11</f>
        <v>106.861356</v>
      </c>
      <c r="F4997" s="69">
        <f>D4997*E4997</f>
        <v>3113.62039838556</v>
      </c>
    </row>
    <row r="4998" customHeight="1" spans="1:6">
      <c r="A4998" s="7">
        <v>2</v>
      </c>
      <c r="B4998" s="7" t="s">
        <v>1013</v>
      </c>
      <c r="C4998" s="7"/>
      <c r="D4998" s="34"/>
      <c r="E4998" s="38"/>
      <c r="F4998" s="69">
        <f>SUM(F4999:F5000)</f>
        <v>102.384</v>
      </c>
    </row>
    <row r="4999" customHeight="1" spans="1:6">
      <c r="A4999" s="7"/>
      <c r="B4999" s="7" t="s">
        <v>1014</v>
      </c>
      <c r="C4999" s="7" t="s">
        <v>863</v>
      </c>
      <c r="D4999" s="34">
        <f>材料预算价!K12-材料预算价!L12</f>
        <v>5.925</v>
      </c>
      <c r="E4999" s="38">
        <f>E4986*7.2</f>
        <v>17.28</v>
      </c>
      <c r="F4999" s="69">
        <f>D4999*E4999</f>
        <v>102.384</v>
      </c>
    </row>
    <row r="5000" customHeight="1" spans="1:6">
      <c r="A5000" s="7"/>
      <c r="B5000" s="7" t="s">
        <v>862</v>
      </c>
      <c r="C5000" s="7" t="s">
        <v>863</v>
      </c>
      <c r="D5000" s="34">
        <f>材料预算价!K11-材料预算价!L11</f>
        <v>4.58</v>
      </c>
      <c r="E5000" s="38"/>
      <c r="F5000" s="69">
        <f>D5000*E5000</f>
        <v>0</v>
      </c>
    </row>
    <row r="5001" customHeight="1" spans="1:6">
      <c r="A5001" s="7" t="s">
        <v>135</v>
      </c>
      <c r="B5001" s="7" t="s">
        <v>849</v>
      </c>
      <c r="C5001" s="231">
        <f>取费表!G9</f>
        <v>0.09</v>
      </c>
      <c r="D5001" s="34"/>
      <c r="E5001" s="34">
        <f>F4992+F4991+F4990+F4972</f>
        <v>57419.0883540823</v>
      </c>
      <c r="F5001" s="34">
        <f>E5001*C5001</f>
        <v>5167.71795186741</v>
      </c>
    </row>
    <row r="5002" customHeight="1" spans="1:6">
      <c r="A5002" s="7"/>
      <c r="B5002" s="7" t="s">
        <v>850</v>
      </c>
      <c r="C5002" s="231"/>
      <c r="D5002" s="34"/>
      <c r="E5002" s="34"/>
      <c r="F5002" s="34">
        <f>(F4972+F4990+F4991+F4992+F5001)*取费表!H9</f>
        <v>1877.60418917849</v>
      </c>
    </row>
    <row r="5003" customHeight="1" spans="1:6">
      <c r="A5003" s="7"/>
      <c r="B5003" s="7" t="s">
        <v>156</v>
      </c>
      <c r="C5003" s="7"/>
      <c r="D5003" s="34"/>
      <c r="E5003" s="34"/>
      <c r="F5003" s="34">
        <f>F5001+E5001+F5002</f>
        <v>64464.4104951282</v>
      </c>
    </row>
    <row r="5004" customHeight="1" spans="1:6">
      <c r="A5004" s="96"/>
      <c r="B5004" s="96"/>
      <c r="C5004" s="96"/>
      <c r="D5004" s="302"/>
      <c r="E5004" s="302"/>
      <c r="F5004" s="302"/>
    </row>
    <row r="5005" customHeight="1" spans="1:12">
      <c r="A5005" s="248" t="s">
        <v>881</v>
      </c>
      <c r="B5005" s="225"/>
      <c r="C5005" s="225"/>
      <c r="D5005" s="225"/>
      <c r="E5005" s="225"/>
      <c r="F5005" s="225"/>
      <c r="G5005" s="248" t="s">
        <v>881</v>
      </c>
      <c r="H5005" s="225"/>
      <c r="I5005" s="225"/>
      <c r="J5005" s="225"/>
      <c r="K5005" s="225"/>
      <c r="L5005" s="225"/>
    </row>
    <row r="5006" customHeight="1" spans="1:12">
      <c r="A5006" s="278" t="s">
        <v>1337</v>
      </c>
      <c r="B5006" s="272"/>
      <c r="C5006" s="272"/>
      <c r="D5006" s="272"/>
      <c r="E5006" s="272"/>
      <c r="F5006" s="272"/>
      <c r="G5006" s="278" t="s">
        <v>1338</v>
      </c>
      <c r="H5006" s="272"/>
      <c r="I5006" s="272"/>
      <c r="J5006" s="272"/>
      <c r="K5006" s="272"/>
      <c r="L5006" s="272"/>
    </row>
    <row r="5007" customHeight="1" spans="1:12">
      <c r="A5007" s="227" t="s">
        <v>1339</v>
      </c>
      <c r="B5007" s="228"/>
      <c r="C5007" s="272"/>
      <c r="D5007" s="272"/>
      <c r="E5007" s="228" t="s">
        <v>1181</v>
      </c>
      <c r="F5007" s="228"/>
      <c r="G5007" s="227" t="s">
        <v>1339</v>
      </c>
      <c r="H5007" s="228"/>
      <c r="I5007" s="272"/>
      <c r="J5007" s="272"/>
      <c r="K5007" s="228" t="s">
        <v>1181</v>
      </c>
      <c r="L5007" s="228"/>
    </row>
    <row r="5008" customHeight="1" spans="1:12">
      <c r="A5008" s="146" t="s">
        <v>911</v>
      </c>
      <c r="B5008" s="233"/>
      <c r="C5008" s="233"/>
      <c r="D5008" s="233"/>
      <c r="E5008" s="233"/>
      <c r="F5008" s="147"/>
      <c r="G5008" s="146" t="s">
        <v>911</v>
      </c>
      <c r="H5008" s="233"/>
      <c r="I5008" s="233"/>
      <c r="J5008" s="233"/>
      <c r="K5008" s="233"/>
      <c r="L5008" s="147"/>
    </row>
    <row r="5009" customHeight="1" spans="1:12">
      <c r="A5009" s="7" t="s">
        <v>104</v>
      </c>
      <c r="B5009" s="7" t="s">
        <v>835</v>
      </c>
      <c r="C5009" s="7" t="s">
        <v>159</v>
      </c>
      <c r="D5009" s="7" t="s">
        <v>422</v>
      </c>
      <c r="E5009" s="7" t="s">
        <v>160</v>
      </c>
      <c r="F5009" s="7" t="s">
        <v>18</v>
      </c>
      <c r="G5009" s="7" t="s">
        <v>104</v>
      </c>
      <c r="H5009" s="7" t="s">
        <v>835</v>
      </c>
      <c r="I5009" s="7" t="s">
        <v>159</v>
      </c>
      <c r="J5009" s="7" t="s">
        <v>422</v>
      </c>
      <c r="K5009" s="7" t="s">
        <v>160</v>
      </c>
      <c r="L5009" s="7" t="s">
        <v>18</v>
      </c>
    </row>
    <row r="5010" customHeight="1" spans="1:12">
      <c r="A5010" s="7" t="s">
        <v>836</v>
      </c>
      <c r="B5010" s="7" t="s">
        <v>837</v>
      </c>
      <c r="C5010" s="7"/>
      <c r="D5010" s="7"/>
      <c r="E5010" s="7"/>
      <c r="F5010" s="34">
        <f>F5011+F5034</f>
        <v>48628.1758381635</v>
      </c>
      <c r="G5010" s="7" t="s">
        <v>836</v>
      </c>
      <c r="H5010" s="7" t="s">
        <v>837</v>
      </c>
      <c r="I5010" s="7"/>
      <c r="J5010" s="7"/>
      <c r="K5010" s="7"/>
      <c r="L5010" s="34">
        <f>L5011+L5034</f>
        <v>60534.4445477491</v>
      </c>
    </row>
    <row r="5011" customHeight="1" spans="1:12">
      <c r="A5011" s="7" t="s">
        <v>539</v>
      </c>
      <c r="B5011" s="7" t="s">
        <v>838</v>
      </c>
      <c r="C5011" s="7"/>
      <c r="D5011" s="7"/>
      <c r="E5011" s="7"/>
      <c r="F5011" s="34">
        <f>F5012+F5015+F5025</f>
        <v>46400.9311432858</v>
      </c>
      <c r="G5011" s="7" t="s">
        <v>539</v>
      </c>
      <c r="H5011" s="7" t="s">
        <v>838</v>
      </c>
      <c r="I5011" s="7"/>
      <c r="J5011" s="7"/>
      <c r="K5011" s="7"/>
      <c r="L5011" s="34">
        <f>L5012+L5015+L5025</f>
        <v>57761.8745684629</v>
      </c>
    </row>
    <row r="5012" customHeight="1" spans="1:12">
      <c r="A5012" s="7">
        <v>1</v>
      </c>
      <c r="B5012" s="7" t="s">
        <v>839</v>
      </c>
      <c r="C5012" s="7" t="s">
        <v>840</v>
      </c>
      <c r="D5012" s="34"/>
      <c r="E5012" s="69">
        <f>SUM(E5013:E5014)</f>
        <v>1770.7833</v>
      </c>
      <c r="F5012" s="69">
        <f>SUM(F5013:F5014)</f>
        <v>13563.68013</v>
      </c>
      <c r="G5012" s="7">
        <v>1</v>
      </c>
      <c r="H5012" s="7" t="s">
        <v>839</v>
      </c>
      <c r="I5012" s="7" t="s">
        <v>840</v>
      </c>
      <c r="J5012" s="34"/>
      <c r="K5012" s="69">
        <f>SUM(K5013:K5014)</f>
        <v>2389.9383</v>
      </c>
      <c r="L5012" s="69">
        <f>SUM(L5013:L5014)</f>
        <v>18306.22563</v>
      </c>
    </row>
    <row r="5013" customHeight="1" spans="1:12">
      <c r="A5013" s="7"/>
      <c r="B5013" s="7" t="s">
        <v>841</v>
      </c>
      <c r="C5013" s="7" t="s">
        <v>840</v>
      </c>
      <c r="D5013" s="69">
        <f>D4975</f>
        <v>8.1</v>
      </c>
      <c r="E5013" s="42">
        <f>1115.9*1.43*0.9</f>
        <v>1436.1633</v>
      </c>
      <c r="F5013" s="69">
        <f>D5013*E5013</f>
        <v>11632.92273</v>
      </c>
      <c r="G5013" s="7"/>
      <c r="H5013" s="7" t="s">
        <v>841</v>
      </c>
      <c r="I5013" s="7" t="s">
        <v>840</v>
      </c>
      <c r="J5013" s="69">
        <f>D5013</f>
        <v>8.1</v>
      </c>
      <c r="K5013" s="42">
        <f>1115.9*1.93*0.9</f>
        <v>1938.3183</v>
      </c>
      <c r="L5013" s="69">
        <f t="shared" ref="L5013:L5024" si="261">J5013*K5013</f>
        <v>15700.37823</v>
      </c>
    </row>
    <row r="5014" customHeight="1" spans="1:12">
      <c r="A5014" s="7"/>
      <c r="B5014" s="7" t="s">
        <v>842</v>
      </c>
      <c r="C5014" s="7" t="s">
        <v>840</v>
      </c>
      <c r="D5014" s="69">
        <f>D4976</f>
        <v>5.77</v>
      </c>
      <c r="E5014" s="348">
        <f>260*1.43*0.9</f>
        <v>334.62</v>
      </c>
      <c r="F5014" s="69">
        <f>D5014*E5014</f>
        <v>1930.7574</v>
      </c>
      <c r="G5014" s="7"/>
      <c r="H5014" s="7" t="s">
        <v>842</v>
      </c>
      <c r="I5014" s="7" t="s">
        <v>840</v>
      </c>
      <c r="J5014" s="69">
        <f>D5014</f>
        <v>5.77</v>
      </c>
      <c r="K5014" s="348">
        <f>260*1.93*0.9</f>
        <v>451.62</v>
      </c>
      <c r="L5014" s="69">
        <f t="shared" si="261"/>
        <v>2605.8474</v>
      </c>
    </row>
    <row r="5015" customHeight="1" spans="1:12">
      <c r="A5015" s="7">
        <v>2</v>
      </c>
      <c r="B5015" s="7" t="s">
        <v>912</v>
      </c>
      <c r="C5015" s="9"/>
      <c r="D5015" s="34"/>
      <c r="E5015" s="34"/>
      <c r="F5015" s="34">
        <f>SUM(F5016:F5024)</f>
        <v>8711.93405715</v>
      </c>
      <c r="G5015" s="7">
        <v>2</v>
      </c>
      <c r="H5015" s="7" t="s">
        <v>912</v>
      </c>
      <c r="I5015" s="9"/>
      <c r="J5015" s="34"/>
      <c r="K5015" s="34"/>
      <c r="L5015" s="34">
        <f>SUM(L5016:L5024)</f>
        <v>9076.17295715</v>
      </c>
    </row>
    <row r="5016" customHeight="1" spans="1:12">
      <c r="A5016" s="7"/>
      <c r="B5016" s="273" t="s">
        <v>996</v>
      </c>
      <c r="C5016" s="7" t="s">
        <v>169</v>
      </c>
      <c r="D5016" s="34">
        <f>材料预算价!K10</f>
        <v>2238.008025</v>
      </c>
      <c r="E5016" s="34">
        <v>0.2</v>
      </c>
      <c r="F5016" s="34">
        <f t="shared" ref="F5016:F5024" si="262">D5016*E5016</f>
        <v>447.601605</v>
      </c>
      <c r="G5016" s="7"/>
      <c r="H5016" s="273" t="s">
        <v>996</v>
      </c>
      <c r="I5016" s="7" t="s">
        <v>169</v>
      </c>
      <c r="J5016" s="34">
        <f>D5016</f>
        <v>2238.008025</v>
      </c>
      <c r="K5016" s="34">
        <v>0.2</v>
      </c>
      <c r="L5016" s="34">
        <f t="shared" si="261"/>
        <v>447.601605</v>
      </c>
    </row>
    <row r="5017" customHeight="1" spans="1:12">
      <c r="A5017" s="7"/>
      <c r="B5017" s="273" t="s">
        <v>1340</v>
      </c>
      <c r="C5017" s="7" t="s">
        <v>863</v>
      </c>
      <c r="D5017" s="34">
        <v>5.5</v>
      </c>
      <c r="E5017" s="34">
        <f>70*1.43</f>
        <v>100.1</v>
      </c>
      <c r="F5017" s="34">
        <f t="shared" si="262"/>
        <v>550.55</v>
      </c>
      <c r="G5017" s="7"/>
      <c r="H5017" s="273" t="s">
        <v>1340</v>
      </c>
      <c r="I5017" s="7" t="s">
        <v>863</v>
      </c>
      <c r="J5017" s="34">
        <v>5.5</v>
      </c>
      <c r="K5017" s="34">
        <f>70*1.93</f>
        <v>135.1</v>
      </c>
      <c r="L5017" s="34">
        <f t="shared" si="261"/>
        <v>743.05</v>
      </c>
    </row>
    <row r="5018" customHeight="1" spans="1:12">
      <c r="A5018" s="7"/>
      <c r="B5018" s="273" t="s">
        <v>1341</v>
      </c>
      <c r="C5018" s="7" t="s">
        <v>863</v>
      </c>
      <c r="D5018" s="34">
        <v>4.5</v>
      </c>
      <c r="E5018" s="34">
        <f>1.3*1.43</f>
        <v>1.859</v>
      </c>
      <c r="F5018" s="34">
        <f t="shared" si="262"/>
        <v>8.3655</v>
      </c>
      <c r="G5018" s="7"/>
      <c r="H5018" s="273" t="s">
        <v>1341</v>
      </c>
      <c r="I5018" s="7" t="s">
        <v>863</v>
      </c>
      <c r="J5018" s="34">
        <v>4.5</v>
      </c>
      <c r="K5018" s="34">
        <f>1.3*1.93</f>
        <v>2.509</v>
      </c>
      <c r="L5018" s="34">
        <f t="shared" si="261"/>
        <v>11.2905</v>
      </c>
    </row>
    <row r="5019" customHeight="1" spans="1:12">
      <c r="A5019" s="7"/>
      <c r="B5019" s="273" t="s">
        <v>1136</v>
      </c>
      <c r="C5019" s="7" t="s">
        <v>863</v>
      </c>
      <c r="D5019" s="34">
        <v>7.03</v>
      </c>
      <c r="E5019" s="34">
        <v>5.5</v>
      </c>
      <c r="F5019" s="34">
        <f t="shared" si="262"/>
        <v>38.665</v>
      </c>
      <c r="G5019" s="7"/>
      <c r="H5019" s="273" t="s">
        <v>1136</v>
      </c>
      <c r="I5019" s="7" t="s">
        <v>863</v>
      </c>
      <c r="J5019" s="34">
        <v>7.03</v>
      </c>
      <c r="K5019" s="34">
        <v>5.5</v>
      </c>
      <c r="L5019" s="34">
        <f t="shared" si="261"/>
        <v>38.665</v>
      </c>
    </row>
    <row r="5020" customHeight="1" spans="1:12">
      <c r="A5020" s="7"/>
      <c r="B5020" s="273" t="s">
        <v>1342</v>
      </c>
      <c r="C5020" s="7" t="s">
        <v>169</v>
      </c>
      <c r="D5020" s="34">
        <v>6.63</v>
      </c>
      <c r="E5020" s="34">
        <v>108</v>
      </c>
      <c r="F5020" s="34">
        <f t="shared" si="262"/>
        <v>716.04</v>
      </c>
      <c r="G5020" s="7"/>
      <c r="H5020" s="273" t="s">
        <v>1342</v>
      </c>
      <c r="I5020" s="7" t="s">
        <v>169</v>
      </c>
      <c r="J5020" s="34">
        <v>6.63</v>
      </c>
      <c r="K5020" s="34">
        <v>108</v>
      </c>
      <c r="L5020" s="34">
        <f t="shared" si="261"/>
        <v>716.04</v>
      </c>
    </row>
    <row r="5021" customHeight="1" spans="1:12">
      <c r="A5021" s="7"/>
      <c r="B5021" s="273" t="s">
        <v>1343</v>
      </c>
      <c r="C5021" s="7" t="s">
        <v>863</v>
      </c>
      <c r="D5021" s="34">
        <v>5.5</v>
      </c>
      <c r="E5021" s="34">
        <v>450</v>
      </c>
      <c r="F5021" s="34">
        <f t="shared" si="262"/>
        <v>2475</v>
      </c>
      <c r="G5021" s="7"/>
      <c r="H5021" s="273" t="s">
        <v>1343</v>
      </c>
      <c r="I5021" s="7" t="s">
        <v>863</v>
      </c>
      <c r="J5021" s="34">
        <v>5.5</v>
      </c>
      <c r="K5021" s="34">
        <v>450</v>
      </c>
      <c r="L5021" s="34">
        <f t="shared" si="261"/>
        <v>2475</v>
      </c>
    </row>
    <row r="5022" customHeight="1" spans="1:12">
      <c r="A5022" s="7"/>
      <c r="B5022" s="273" t="s">
        <v>1002</v>
      </c>
      <c r="C5022" s="7" t="s">
        <v>863</v>
      </c>
      <c r="D5022" s="34">
        <v>5.97</v>
      </c>
      <c r="E5022" s="34">
        <f>53*1.43</f>
        <v>75.79</v>
      </c>
      <c r="F5022" s="34">
        <f t="shared" si="262"/>
        <v>452.4663</v>
      </c>
      <c r="G5022" s="7"/>
      <c r="H5022" s="273" t="s">
        <v>1002</v>
      </c>
      <c r="I5022" s="7" t="s">
        <v>863</v>
      </c>
      <c r="J5022" s="34">
        <v>5.97</v>
      </c>
      <c r="K5022" s="34">
        <f>53*1.93</f>
        <v>102.29</v>
      </c>
      <c r="L5022" s="34">
        <f t="shared" si="261"/>
        <v>610.6713</v>
      </c>
    </row>
    <row r="5023" customHeight="1" spans="1:12">
      <c r="A5023" s="7"/>
      <c r="B5023" s="7" t="s">
        <v>913</v>
      </c>
      <c r="C5023" s="7" t="s">
        <v>169</v>
      </c>
      <c r="D5023" s="34">
        <f>D4980</f>
        <v>3.59</v>
      </c>
      <c r="E5023" s="34">
        <v>1050</v>
      </c>
      <c r="F5023" s="34">
        <f t="shared" si="262"/>
        <v>3769.5</v>
      </c>
      <c r="G5023" s="7"/>
      <c r="H5023" s="7" t="s">
        <v>913</v>
      </c>
      <c r="I5023" s="7" t="s">
        <v>169</v>
      </c>
      <c r="J5023" s="34">
        <f>D5023</f>
        <v>3.59</v>
      </c>
      <c r="K5023" s="34">
        <v>1050</v>
      </c>
      <c r="L5023" s="34">
        <f t="shared" si="261"/>
        <v>3769.5</v>
      </c>
    </row>
    <row r="5024" customHeight="1" spans="1:12">
      <c r="A5024" s="7"/>
      <c r="B5024" s="7" t="s">
        <v>1004</v>
      </c>
      <c r="C5024" s="9" t="s">
        <v>845</v>
      </c>
      <c r="D5024" s="254">
        <f>SUM(F5016:F5023)</f>
        <v>8458.188405</v>
      </c>
      <c r="E5024" s="51">
        <v>0.03</v>
      </c>
      <c r="F5024" s="34">
        <f t="shared" si="262"/>
        <v>253.74565215</v>
      </c>
      <c r="G5024" s="7"/>
      <c r="H5024" s="7" t="s">
        <v>1004</v>
      </c>
      <c r="I5024" s="9" t="s">
        <v>845</v>
      </c>
      <c r="J5024" s="254">
        <f>SUM(L5016:L5023)</f>
        <v>8811.818405</v>
      </c>
      <c r="K5024" s="51">
        <v>0.03</v>
      </c>
      <c r="L5024" s="34">
        <f t="shared" si="261"/>
        <v>264.35455215</v>
      </c>
    </row>
    <row r="5025" customHeight="1" spans="1:12">
      <c r="A5025" s="7">
        <v>3</v>
      </c>
      <c r="B5025" s="7" t="s">
        <v>859</v>
      </c>
      <c r="C5025" s="9"/>
      <c r="D5025" s="34"/>
      <c r="E5025" s="34"/>
      <c r="F5025" s="34">
        <f>SUM(F5026:F5033)</f>
        <v>24125.3169561358</v>
      </c>
      <c r="G5025" s="7">
        <v>3</v>
      </c>
      <c r="H5025" s="7" t="s">
        <v>859</v>
      </c>
      <c r="I5025" s="9"/>
      <c r="J5025" s="34"/>
      <c r="K5025" s="34"/>
      <c r="L5025" s="34">
        <f>SUM(L5026:L5033)</f>
        <v>30379.4759813129</v>
      </c>
    </row>
    <row r="5026" customHeight="1" spans="1:12">
      <c r="A5026" s="7"/>
      <c r="B5026" s="7" t="s">
        <v>1344</v>
      </c>
      <c r="C5026" s="7" t="s">
        <v>428</v>
      </c>
      <c r="D5026" s="34">
        <f>台时!F147</f>
        <v>75.9020646190666</v>
      </c>
      <c r="E5026" s="34">
        <f>154*1.43*0.9</f>
        <v>198.198</v>
      </c>
      <c r="F5026" s="34">
        <f t="shared" ref="F5026:F5032" si="263">D5026*E5026</f>
        <v>15043.6374033698</v>
      </c>
      <c r="G5026" s="7"/>
      <c r="H5026" s="7" t="s">
        <v>1344</v>
      </c>
      <c r="I5026" s="7" t="s">
        <v>428</v>
      </c>
      <c r="J5026" s="34">
        <f t="shared" ref="J5026:J5032" si="264">D5026</f>
        <v>75.9020646190666</v>
      </c>
      <c r="K5026" s="34">
        <f>154*1.93*0.9</f>
        <v>267.498</v>
      </c>
      <c r="L5026" s="34">
        <f t="shared" ref="L5026:L5032" si="265">J5026*K5026</f>
        <v>20303.6504814711</v>
      </c>
    </row>
    <row r="5027" customHeight="1" spans="1:12">
      <c r="A5027" s="7"/>
      <c r="B5027" s="7" t="s">
        <v>1345</v>
      </c>
      <c r="C5027" s="7" t="s">
        <v>428</v>
      </c>
      <c r="D5027" s="34">
        <f>台时!E84</f>
        <v>8.3371858795373</v>
      </c>
      <c r="E5027" s="34">
        <f>77*1.43*0.9</f>
        <v>99.099</v>
      </c>
      <c r="F5027" s="34">
        <f t="shared" si="263"/>
        <v>826.206783476267</v>
      </c>
      <c r="G5027" s="7"/>
      <c r="H5027" s="7" t="s">
        <v>1345</v>
      </c>
      <c r="I5027" s="7" t="s">
        <v>428</v>
      </c>
      <c r="J5027" s="34">
        <f t="shared" si="264"/>
        <v>8.3371858795373</v>
      </c>
      <c r="K5027" s="34">
        <f>77*1.93*0.9</f>
        <v>133.749</v>
      </c>
      <c r="L5027" s="34">
        <f t="shared" si="265"/>
        <v>1115.09027420223</v>
      </c>
    </row>
    <row r="5028" customHeight="1" spans="1:12">
      <c r="A5028" s="7"/>
      <c r="B5028" s="273" t="s">
        <v>1346</v>
      </c>
      <c r="C5028" s="7" t="s">
        <v>428</v>
      </c>
      <c r="D5028" s="34">
        <f>台时!D210</f>
        <v>13.7525245313123</v>
      </c>
      <c r="E5028" s="251">
        <f>70*0.9</f>
        <v>63</v>
      </c>
      <c r="F5028" s="34">
        <f t="shared" si="263"/>
        <v>866.409045472676</v>
      </c>
      <c r="G5028" s="7"/>
      <c r="H5028" s="273" t="s">
        <v>1346</v>
      </c>
      <c r="I5028" s="7" t="s">
        <v>428</v>
      </c>
      <c r="J5028" s="34">
        <f t="shared" si="264"/>
        <v>13.7525245313123</v>
      </c>
      <c r="K5028" s="251">
        <f>70*0.9</f>
        <v>63</v>
      </c>
      <c r="L5028" s="34">
        <f t="shared" si="265"/>
        <v>866.409045472676</v>
      </c>
    </row>
    <row r="5029" customHeight="1" spans="1:12">
      <c r="A5029" s="7"/>
      <c r="B5029" s="7" t="s">
        <v>1347</v>
      </c>
      <c r="C5029" s="7" t="s">
        <v>428</v>
      </c>
      <c r="D5029" s="34">
        <f>台时!C210</f>
        <v>26.7107814120463</v>
      </c>
      <c r="E5029" s="34">
        <f>140*0.9</f>
        <v>126</v>
      </c>
      <c r="F5029" s="34">
        <f t="shared" si="263"/>
        <v>3365.55845791783</v>
      </c>
      <c r="G5029" s="7"/>
      <c r="H5029" s="7" t="s">
        <v>1347</v>
      </c>
      <c r="I5029" s="7" t="s">
        <v>428</v>
      </c>
      <c r="J5029" s="34">
        <f t="shared" si="264"/>
        <v>26.7107814120463</v>
      </c>
      <c r="K5029" s="34">
        <f>140*0.9</f>
        <v>126</v>
      </c>
      <c r="L5029" s="34">
        <f t="shared" si="265"/>
        <v>3365.55845791783</v>
      </c>
    </row>
    <row r="5030" customHeight="1" spans="1:12">
      <c r="A5030" s="7"/>
      <c r="B5030" s="7" t="s">
        <v>1348</v>
      </c>
      <c r="C5030" s="7" t="s">
        <v>428</v>
      </c>
      <c r="D5030" s="34">
        <f>台时!D189</f>
        <v>160.831999202234</v>
      </c>
      <c r="E5030" s="34">
        <f>8*0.9</f>
        <v>7.2</v>
      </c>
      <c r="F5030" s="34">
        <f t="shared" si="263"/>
        <v>1157.99039425608</v>
      </c>
      <c r="G5030" s="7"/>
      <c r="H5030" s="7" t="s">
        <v>1348</v>
      </c>
      <c r="I5030" s="7" t="s">
        <v>428</v>
      </c>
      <c r="J5030" s="34">
        <f t="shared" si="264"/>
        <v>160.831999202234</v>
      </c>
      <c r="K5030" s="34">
        <f>8*0.9</f>
        <v>7.2</v>
      </c>
      <c r="L5030" s="34">
        <f t="shared" si="265"/>
        <v>1157.99039425608</v>
      </c>
    </row>
    <row r="5031" customHeight="1" spans="1:12">
      <c r="A5031" s="7"/>
      <c r="B5031" s="7" t="s">
        <v>1349</v>
      </c>
      <c r="C5031" s="7" t="s">
        <v>428</v>
      </c>
      <c r="D5031" s="34">
        <f>台时!E189</f>
        <v>44.7096140805744</v>
      </c>
      <c r="E5031" s="34">
        <f>26*1.43*0.9</f>
        <v>33.462</v>
      </c>
      <c r="F5031" s="34">
        <f t="shared" si="263"/>
        <v>1496.07310636418</v>
      </c>
      <c r="G5031" s="7"/>
      <c r="H5031" s="7" t="s">
        <v>1349</v>
      </c>
      <c r="I5031" s="7" t="s">
        <v>428</v>
      </c>
      <c r="J5031" s="34">
        <f t="shared" si="264"/>
        <v>44.7096140805744</v>
      </c>
      <c r="K5031" s="34">
        <f>26*1.93*0.9</f>
        <v>45.162</v>
      </c>
      <c r="L5031" s="34">
        <f t="shared" si="265"/>
        <v>2019.1755911069</v>
      </c>
    </row>
    <row r="5032" customHeight="1" spans="1:12">
      <c r="A5032" s="7"/>
      <c r="B5032" s="7" t="s">
        <v>1005</v>
      </c>
      <c r="C5032" s="7" t="s">
        <v>428</v>
      </c>
      <c r="D5032" s="34">
        <f>台时!H42</f>
        <v>49.389824491424</v>
      </c>
      <c r="E5032" s="34">
        <f>15*0.9</f>
        <v>13.5</v>
      </c>
      <c r="F5032" s="34">
        <f t="shared" si="263"/>
        <v>666.762630634224</v>
      </c>
      <c r="G5032" s="7"/>
      <c r="H5032" s="7" t="s">
        <v>1005</v>
      </c>
      <c r="I5032" s="7" t="s">
        <v>428</v>
      </c>
      <c r="J5032" s="34">
        <f t="shared" si="264"/>
        <v>49.389824491424</v>
      </c>
      <c r="K5032" s="34">
        <f>15*0.9</f>
        <v>13.5</v>
      </c>
      <c r="L5032" s="34">
        <f t="shared" si="265"/>
        <v>666.762630634224</v>
      </c>
    </row>
    <row r="5033" customHeight="1" spans="1:12">
      <c r="A5033" s="7"/>
      <c r="B5033" s="7" t="s">
        <v>918</v>
      </c>
      <c r="C5033" s="9" t="s">
        <v>845</v>
      </c>
      <c r="D5033" s="34">
        <f>SUM(F5026:F5032)</f>
        <v>23422.637821491</v>
      </c>
      <c r="E5033" s="34">
        <v>3</v>
      </c>
      <c r="F5033" s="34">
        <f>D5033*E5033/100</f>
        <v>702.679134644731</v>
      </c>
      <c r="G5033" s="7"/>
      <c r="H5033" s="7" t="s">
        <v>918</v>
      </c>
      <c r="I5033" s="9" t="s">
        <v>845</v>
      </c>
      <c r="J5033" s="34">
        <f>SUM(L5026:L5032)</f>
        <v>29494.636875061</v>
      </c>
      <c r="K5033" s="34">
        <v>3</v>
      </c>
      <c r="L5033" s="34">
        <f>J5033*K5033/100</f>
        <v>884.839106251831</v>
      </c>
    </row>
    <row r="5034" customHeight="1" spans="1:12">
      <c r="A5034" s="7" t="s">
        <v>564</v>
      </c>
      <c r="B5034" s="7" t="s">
        <v>846</v>
      </c>
      <c r="C5034" s="230">
        <f>C4988</f>
        <v>0.048</v>
      </c>
      <c r="D5034" s="34"/>
      <c r="E5034" s="34">
        <f>F5011</f>
        <v>46400.9311432858</v>
      </c>
      <c r="F5034" s="34">
        <f>E5034*C5034</f>
        <v>2227.24469487772</v>
      </c>
      <c r="G5034" s="7" t="s">
        <v>564</v>
      </c>
      <c r="H5034" s="7" t="s">
        <v>846</v>
      </c>
      <c r="I5034" s="230">
        <f>C5034</f>
        <v>0.048</v>
      </c>
      <c r="J5034" s="34"/>
      <c r="K5034" s="34">
        <f>L5011</f>
        <v>57761.8745684629</v>
      </c>
      <c r="L5034" s="34">
        <f t="shared" ref="L5034:L5036" si="266">K5034*I5034</f>
        <v>2772.56997928622</v>
      </c>
    </row>
    <row r="5035" customHeight="1" spans="1:12">
      <c r="A5035" s="7" t="s">
        <v>439</v>
      </c>
      <c r="B5035" s="7" t="s">
        <v>847</v>
      </c>
      <c r="C5035" s="230">
        <f>C4990</f>
        <v>0.0925</v>
      </c>
      <c r="D5035" s="34"/>
      <c r="E5035" s="34">
        <f>F5010</f>
        <v>48628.1758381635</v>
      </c>
      <c r="F5035" s="34">
        <f>E5035*C5035</f>
        <v>4498.10626503013</v>
      </c>
      <c r="G5035" s="7" t="s">
        <v>439</v>
      </c>
      <c r="H5035" s="7" t="s">
        <v>847</v>
      </c>
      <c r="I5035" s="230">
        <f>C5035</f>
        <v>0.0925</v>
      </c>
      <c r="J5035" s="34"/>
      <c r="K5035" s="34">
        <f>L5010</f>
        <v>60534.4445477491</v>
      </c>
      <c r="L5035" s="34">
        <f t="shared" si="266"/>
        <v>5599.43612066679</v>
      </c>
    </row>
    <row r="5036" customHeight="1" spans="1:12">
      <c r="A5036" s="7" t="s">
        <v>83</v>
      </c>
      <c r="B5036" s="7" t="s">
        <v>848</v>
      </c>
      <c r="C5036" s="230">
        <f>C4991</f>
        <v>0.07</v>
      </c>
      <c r="D5036" s="34"/>
      <c r="E5036" s="34">
        <f>F5035+F5010</f>
        <v>53126.2821031936</v>
      </c>
      <c r="F5036" s="34">
        <f>E5036*C5036</f>
        <v>3718.83974722356</v>
      </c>
      <c r="G5036" s="7" t="s">
        <v>83</v>
      </c>
      <c r="H5036" s="7" t="s">
        <v>848</v>
      </c>
      <c r="I5036" s="230">
        <f>C5036</f>
        <v>0.07</v>
      </c>
      <c r="J5036" s="34"/>
      <c r="K5036" s="34">
        <f>L5035+L5010</f>
        <v>66133.8806684159</v>
      </c>
      <c r="L5036" s="34">
        <f t="shared" si="266"/>
        <v>4629.37164678911</v>
      </c>
    </row>
    <row r="5037" customHeight="1" spans="1:12">
      <c r="A5037" s="7" t="s">
        <v>121</v>
      </c>
      <c r="B5037" s="7" t="s">
        <v>1011</v>
      </c>
      <c r="C5037" s="9"/>
      <c r="D5037" s="34"/>
      <c r="E5037" s="34"/>
      <c r="F5037" s="34">
        <f>SUM(F5038:F5039)</f>
        <v>2511.432495</v>
      </c>
      <c r="G5037" s="7" t="s">
        <v>121</v>
      </c>
      <c r="H5037" s="7" t="s">
        <v>1011</v>
      </c>
      <c r="I5037" s="9"/>
      <c r="J5037" s="34"/>
      <c r="K5037" s="34"/>
      <c r="L5037" s="34">
        <f>SUM(L5038:L5039)</f>
        <v>3045.215745</v>
      </c>
    </row>
    <row r="5038" customHeight="1" spans="1:12">
      <c r="A5038" s="7"/>
      <c r="B5038" s="7" t="s">
        <v>1014</v>
      </c>
      <c r="C5038" s="7" t="s">
        <v>863</v>
      </c>
      <c r="D5038" s="34">
        <f>D4999</f>
        <v>5.925</v>
      </c>
      <c r="E5038" s="34">
        <f>E5031*7.7+E5032*7.2</f>
        <v>354.8574</v>
      </c>
      <c r="F5038" s="34">
        <f>E5038*D5038</f>
        <v>2102.530095</v>
      </c>
      <c r="G5038" s="7"/>
      <c r="H5038" s="7" t="s">
        <v>1014</v>
      </c>
      <c r="I5038" s="7" t="s">
        <v>863</v>
      </c>
      <c r="J5038" s="34">
        <f>D5038</f>
        <v>5.925</v>
      </c>
      <c r="K5038" s="34">
        <f>K5031*7.7+K5032*7.2</f>
        <v>444.9474</v>
      </c>
      <c r="L5038" s="34">
        <f>K5038*J5038</f>
        <v>2636.313345</v>
      </c>
    </row>
    <row r="5039" customHeight="1" spans="1:12">
      <c r="A5039" s="7"/>
      <c r="B5039" s="7" t="s">
        <v>862</v>
      </c>
      <c r="C5039" s="9" t="s">
        <v>863</v>
      </c>
      <c r="D5039" s="34">
        <f>D5000</f>
        <v>4.58</v>
      </c>
      <c r="E5039" s="34">
        <f>E5030*12.4</f>
        <v>89.28</v>
      </c>
      <c r="F5039" s="34">
        <f>E5039*D5039</f>
        <v>408.9024</v>
      </c>
      <c r="G5039" s="7"/>
      <c r="H5039" s="7" t="s">
        <v>862</v>
      </c>
      <c r="I5039" s="9" t="s">
        <v>863</v>
      </c>
      <c r="J5039" s="34">
        <f>D5039</f>
        <v>4.58</v>
      </c>
      <c r="K5039" s="34">
        <f>K5030*12.4</f>
        <v>89.28</v>
      </c>
      <c r="L5039" s="34">
        <f>K5039*J5039</f>
        <v>408.9024</v>
      </c>
    </row>
    <row r="5040" customHeight="1" spans="1:12">
      <c r="A5040" s="7" t="s">
        <v>135</v>
      </c>
      <c r="B5040" s="7" t="s">
        <v>849</v>
      </c>
      <c r="C5040" s="231">
        <f>C5001</f>
        <v>0.09</v>
      </c>
      <c r="D5040" s="34"/>
      <c r="E5040" s="34">
        <f>F5037+F5036+F5035+F5010</f>
        <v>59356.5543454172</v>
      </c>
      <c r="F5040" s="34">
        <f>E5040*C5040</f>
        <v>5342.08989108755</v>
      </c>
      <c r="G5040" s="7" t="s">
        <v>135</v>
      </c>
      <c r="H5040" s="7" t="s">
        <v>849</v>
      </c>
      <c r="I5040" s="231">
        <f>C5040</f>
        <v>0.09</v>
      </c>
      <c r="J5040" s="34"/>
      <c r="K5040" s="34">
        <f>L5037+L5036+L5035+L5010</f>
        <v>73808.468060205</v>
      </c>
      <c r="L5040" s="34">
        <f>K5040*I5040</f>
        <v>6642.76212541845</v>
      </c>
    </row>
    <row r="5041" customHeight="1" spans="1:12">
      <c r="A5041" s="7"/>
      <c r="B5041" s="7" t="s">
        <v>850</v>
      </c>
      <c r="C5041" s="231"/>
      <c r="D5041" s="34"/>
      <c r="E5041" s="34"/>
      <c r="F5041" s="34">
        <f>(F5010+F5035+F5036+F5037+F5040)*取费表!H9</f>
        <v>1940.95932709514</v>
      </c>
      <c r="G5041" s="7"/>
      <c r="H5041" s="7" t="s">
        <v>850</v>
      </c>
      <c r="I5041" s="231"/>
      <c r="J5041" s="34"/>
      <c r="K5041" s="34"/>
      <c r="L5041" s="34">
        <f>(L5010+L5035+L5036+L5037+L5040)*取费表!H9</f>
        <v>2413.5369055687</v>
      </c>
    </row>
    <row r="5042" customHeight="1" spans="1:12">
      <c r="A5042" s="7"/>
      <c r="B5042" s="7" t="s">
        <v>156</v>
      </c>
      <c r="C5042" s="7"/>
      <c r="D5042" s="34"/>
      <c r="E5042" s="34"/>
      <c r="F5042" s="34">
        <f>F5040+E5040+F5041</f>
        <v>66639.6035635999</v>
      </c>
      <c r="G5042" s="7"/>
      <c r="H5042" s="7" t="s">
        <v>156</v>
      </c>
      <c r="I5042" s="7"/>
      <c r="J5042" s="34"/>
      <c r="K5042" s="34"/>
      <c r="L5042" s="34">
        <f>L5040+K5040+L5041</f>
        <v>82864.7670911922</v>
      </c>
    </row>
    <row r="5043" customHeight="1" spans="1:6">
      <c r="A5043" s="240" t="s">
        <v>828</v>
      </c>
      <c r="B5043" s="240"/>
      <c r="C5043" s="240"/>
      <c r="D5043" s="240"/>
      <c r="E5043" s="240"/>
      <c r="F5043" s="240"/>
    </row>
    <row r="5044" customHeight="1" spans="1:6">
      <c r="A5044" s="296" t="s">
        <v>1350</v>
      </c>
      <c r="B5044" s="296"/>
      <c r="C5044" s="296"/>
      <c r="D5044" s="296"/>
      <c r="E5044" s="296"/>
      <c r="F5044" s="296"/>
    </row>
    <row r="5045" customHeight="1" spans="1:6">
      <c r="A5045" s="227" t="s">
        <v>1351</v>
      </c>
      <c r="B5045" s="228"/>
      <c r="C5045" s="229"/>
      <c r="D5045" s="229"/>
      <c r="E5045" s="228" t="s">
        <v>832</v>
      </c>
      <c r="F5045" s="228"/>
    </row>
    <row r="5046" customHeight="1" spans="1:6">
      <c r="A5046" s="146" t="s">
        <v>911</v>
      </c>
      <c r="B5046" s="233"/>
      <c r="C5046" s="233"/>
      <c r="D5046" s="233"/>
      <c r="E5046" s="233"/>
      <c r="F5046" s="147"/>
    </row>
    <row r="5047" customHeight="1" spans="1:6">
      <c r="A5047" s="7" t="s">
        <v>104</v>
      </c>
      <c r="B5047" s="7" t="s">
        <v>835</v>
      </c>
      <c r="C5047" s="7" t="s">
        <v>159</v>
      </c>
      <c r="D5047" s="7" t="s">
        <v>422</v>
      </c>
      <c r="E5047" s="7" t="s">
        <v>160</v>
      </c>
      <c r="F5047" s="7" t="s">
        <v>18</v>
      </c>
    </row>
    <row r="5048" customHeight="1" spans="1:6">
      <c r="A5048" s="7" t="s">
        <v>836</v>
      </c>
      <c r="B5048" s="7" t="s">
        <v>837</v>
      </c>
      <c r="C5048" s="7"/>
      <c r="D5048" s="7"/>
      <c r="E5048" s="7"/>
      <c r="F5048" s="34">
        <f>F5049+F5058+F5059</f>
        <v>7350.27886160112</v>
      </c>
    </row>
    <row r="5049" customHeight="1" spans="1:6">
      <c r="A5049" s="7" t="s">
        <v>539</v>
      </c>
      <c r="B5049" s="7" t="s">
        <v>838</v>
      </c>
      <c r="C5049" s="7"/>
      <c r="D5049" s="7"/>
      <c r="E5049" s="7"/>
      <c r="F5049" s="34">
        <f>F5050+F5053+F5057</f>
        <v>7013.62486794</v>
      </c>
    </row>
    <row r="5050" customHeight="1" spans="1:6">
      <c r="A5050" s="7">
        <v>1</v>
      </c>
      <c r="B5050" s="7" t="s">
        <v>839</v>
      </c>
      <c r="C5050" s="7" t="s">
        <v>840</v>
      </c>
      <c r="D5050" s="69"/>
      <c r="E5050" s="42">
        <f>SUM(E5051:E5052)</f>
        <v>1148</v>
      </c>
      <c r="F5050" s="69">
        <f>SUM(F5051:F5052)</f>
        <v>6677.55</v>
      </c>
    </row>
    <row r="5051" customHeight="1" spans="1:6">
      <c r="A5051" s="7"/>
      <c r="B5051" s="7" t="s">
        <v>841</v>
      </c>
      <c r="C5051" s="7" t="s">
        <v>840</v>
      </c>
      <c r="D5051" s="69">
        <f>D5013</f>
        <v>8.1</v>
      </c>
      <c r="E5051" s="42">
        <v>23</v>
      </c>
      <c r="F5051" s="69">
        <f>D5051*E5051</f>
        <v>186.3</v>
      </c>
    </row>
    <row r="5052" customHeight="1" spans="1:6">
      <c r="A5052" s="7"/>
      <c r="B5052" s="7" t="s">
        <v>842</v>
      </c>
      <c r="C5052" s="7" t="s">
        <v>840</v>
      </c>
      <c r="D5052" s="69">
        <f>D5014</f>
        <v>5.77</v>
      </c>
      <c r="E5052" s="42">
        <v>1125</v>
      </c>
      <c r="F5052" s="69">
        <f>D5052*E5052</f>
        <v>6491.25</v>
      </c>
    </row>
    <row r="5053" customHeight="1" spans="1:6">
      <c r="A5053" s="7">
        <v>2</v>
      </c>
      <c r="B5053" s="7" t="s">
        <v>1254</v>
      </c>
      <c r="C5053" s="9"/>
      <c r="D5053" s="69"/>
      <c r="E5053" s="38"/>
      <c r="F5053" s="38">
        <f>SUM(F5054:F5056)</f>
        <v>336.07486794</v>
      </c>
    </row>
    <row r="5054" customHeight="1" spans="1:6">
      <c r="A5054" s="7"/>
      <c r="B5054" s="7" t="s">
        <v>1352</v>
      </c>
      <c r="C5054" s="9" t="s">
        <v>341</v>
      </c>
      <c r="D5054" s="38">
        <f>F1089/100</f>
        <v>0.023283</v>
      </c>
      <c r="E5054" s="38">
        <v>118</v>
      </c>
      <c r="F5054" s="38">
        <f>D5054*E5054</f>
        <v>2.747394</v>
      </c>
    </row>
    <row r="5055" customHeight="1" spans="1:6">
      <c r="A5055" s="7"/>
      <c r="B5055" s="7" t="s">
        <v>1353</v>
      </c>
      <c r="C5055" s="7" t="s">
        <v>363</v>
      </c>
      <c r="D5055" s="38">
        <v>0.2</v>
      </c>
      <c r="E5055" s="38">
        <f>3300/2</f>
        <v>1650</v>
      </c>
      <c r="F5055" s="38">
        <f>D5055*E5055</f>
        <v>330</v>
      </c>
    </row>
    <row r="5056" customHeight="1" spans="1:6">
      <c r="A5056" s="7"/>
      <c r="B5056" s="7" t="s">
        <v>952</v>
      </c>
      <c r="C5056" s="326">
        <v>0.01</v>
      </c>
      <c r="D5056" s="38"/>
      <c r="E5056" s="38"/>
      <c r="F5056" s="38">
        <f>(F5054+F5055)*C5056</f>
        <v>3.32747394</v>
      </c>
    </row>
    <row r="5057" customHeight="1" spans="1:6">
      <c r="A5057" s="7">
        <v>3</v>
      </c>
      <c r="B5057" s="7" t="s">
        <v>859</v>
      </c>
      <c r="C5057" s="9"/>
      <c r="D5057" s="34"/>
      <c r="E5057" s="34"/>
      <c r="F5057" s="34"/>
    </row>
    <row r="5058" customHeight="1" spans="1:6">
      <c r="A5058" s="7" t="s">
        <v>564</v>
      </c>
      <c r="B5058" s="7" t="s">
        <v>846</v>
      </c>
      <c r="C5058" s="230">
        <f>取费表!C12</f>
        <v>0.048</v>
      </c>
      <c r="D5058" s="34"/>
      <c r="E5058" s="34">
        <f>F5049</f>
        <v>7013.62486794</v>
      </c>
      <c r="F5058" s="34">
        <f>E5058*C5058</f>
        <v>336.65399366112</v>
      </c>
    </row>
    <row r="5059" customHeight="1" spans="1:6">
      <c r="A5059" s="7"/>
      <c r="B5059" s="7"/>
      <c r="C5059" s="230"/>
      <c r="D5059" s="34"/>
      <c r="E5059" s="34"/>
      <c r="F5059" s="34"/>
    </row>
    <row r="5060" customHeight="1" spans="1:6">
      <c r="A5060" s="7" t="s">
        <v>439</v>
      </c>
      <c r="B5060" s="7" t="s">
        <v>847</v>
      </c>
      <c r="C5060" s="230">
        <f>取费表!E12</f>
        <v>0.0725</v>
      </c>
      <c r="D5060" s="34"/>
      <c r="E5060" s="34">
        <f>F5048</f>
        <v>7350.27886160112</v>
      </c>
      <c r="F5060" s="34">
        <f>E5060*C5060</f>
        <v>532.895217466081</v>
      </c>
    </row>
    <row r="5061" customHeight="1" spans="1:6">
      <c r="A5061" s="7" t="s">
        <v>83</v>
      </c>
      <c r="B5061" s="7" t="s">
        <v>848</v>
      </c>
      <c r="C5061" s="230">
        <f>取费表!F12</f>
        <v>0.05</v>
      </c>
      <c r="D5061" s="69"/>
      <c r="E5061" s="34">
        <f>F5060+F5048</f>
        <v>7883.1740790672</v>
      </c>
      <c r="F5061" s="34">
        <f>E5061*C5061</f>
        <v>394.15870395336</v>
      </c>
    </row>
    <row r="5062" customHeight="1" spans="1:6">
      <c r="A5062" s="7" t="s">
        <v>121</v>
      </c>
      <c r="B5062" s="7" t="s">
        <v>849</v>
      </c>
      <c r="C5062" s="231">
        <f>取费表!G12</f>
        <v>0.09</v>
      </c>
      <c r="D5062" s="38"/>
      <c r="E5062" s="34">
        <f>F5061+F5060+F5048</f>
        <v>8277.33278302056</v>
      </c>
      <c r="F5062" s="34">
        <f>E5062*C5062</f>
        <v>744.95995047185</v>
      </c>
    </row>
    <row r="5063" customHeight="1" spans="1:6">
      <c r="A5063" s="7"/>
      <c r="B5063" s="7" t="s">
        <v>850</v>
      </c>
      <c r="C5063" s="231"/>
      <c r="D5063" s="38"/>
      <c r="E5063" s="34"/>
      <c r="F5063" s="34">
        <f>(F5048+F5060+F5061+F5062)*取费表!H12</f>
        <v>270.668782004772</v>
      </c>
    </row>
    <row r="5064" customHeight="1" spans="1:6">
      <c r="A5064" s="7"/>
      <c r="B5064" s="7" t="s">
        <v>156</v>
      </c>
      <c r="C5064" s="7"/>
      <c r="D5064" s="38"/>
      <c r="E5064" s="38"/>
      <c r="F5064" s="38">
        <f>E5062+F5062+F5063</f>
        <v>9292.96151549718</v>
      </c>
    </row>
    <row r="5065" customHeight="1" spans="1:6">
      <c r="A5065" s="331"/>
      <c r="B5065" s="332"/>
      <c r="C5065" s="331"/>
      <c r="D5065" s="331"/>
      <c r="E5065" s="331"/>
      <c r="F5065" s="331"/>
    </row>
    <row r="5066" customHeight="1" spans="1:6">
      <c r="A5066" s="331"/>
      <c r="B5066" s="332"/>
      <c r="C5066" s="331"/>
      <c r="D5066" s="331"/>
      <c r="E5066" s="331"/>
      <c r="F5066" s="331"/>
    </row>
    <row r="5067" customHeight="1" spans="1:6">
      <c r="A5067" s="331"/>
      <c r="B5067" s="332"/>
      <c r="C5067" s="331"/>
      <c r="D5067" s="331"/>
      <c r="E5067" s="331"/>
      <c r="F5067" s="331"/>
    </row>
    <row r="5068" customHeight="1" spans="1:6">
      <c r="A5068" s="331"/>
      <c r="B5068" s="332"/>
      <c r="C5068" s="331"/>
      <c r="D5068" s="331"/>
      <c r="E5068" s="331"/>
      <c r="F5068" s="331"/>
    </row>
    <row r="5069" customHeight="1" spans="1:6">
      <c r="A5069" s="331"/>
      <c r="B5069" s="332"/>
      <c r="C5069" s="331"/>
      <c r="D5069" s="331"/>
      <c r="E5069" s="331"/>
      <c r="F5069" s="331"/>
    </row>
    <row r="5070" customHeight="1" spans="1:6">
      <c r="A5070" s="331"/>
      <c r="B5070" s="332"/>
      <c r="C5070" s="331"/>
      <c r="D5070" s="331"/>
      <c r="E5070" s="331"/>
      <c r="F5070" s="331"/>
    </row>
    <row r="5071" customHeight="1" spans="1:6">
      <c r="A5071" s="331"/>
      <c r="B5071" s="332"/>
      <c r="C5071" s="331"/>
      <c r="D5071" s="331"/>
      <c r="E5071" s="331"/>
      <c r="F5071" s="331"/>
    </row>
    <row r="5072" customHeight="1" spans="1:6">
      <c r="A5072" s="331"/>
      <c r="B5072" s="332"/>
      <c r="C5072" s="331"/>
      <c r="D5072" s="331"/>
      <c r="E5072" s="331"/>
      <c r="F5072" s="331"/>
    </row>
    <row r="5073" customHeight="1" spans="1:6">
      <c r="A5073" s="331"/>
      <c r="B5073" s="332"/>
      <c r="C5073" s="331"/>
      <c r="D5073" s="331"/>
      <c r="E5073" s="331"/>
      <c r="F5073" s="331"/>
    </row>
    <row r="5074" customHeight="1" spans="1:6">
      <c r="A5074" s="331"/>
      <c r="B5074" s="332"/>
      <c r="C5074" s="331"/>
      <c r="D5074" s="331"/>
      <c r="E5074" s="331"/>
      <c r="F5074" s="331"/>
    </row>
    <row r="5075" customHeight="1" spans="1:6">
      <c r="A5075" s="331"/>
      <c r="B5075" s="332"/>
      <c r="C5075" s="331"/>
      <c r="D5075" s="331"/>
      <c r="E5075" s="331"/>
      <c r="F5075" s="331"/>
    </row>
    <row r="5076" customHeight="1" spans="1:6">
      <c r="A5076" s="331"/>
      <c r="B5076" s="332"/>
      <c r="C5076" s="331"/>
      <c r="D5076" s="331"/>
      <c r="E5076" s="331"/>
      <c r="F5076" s="331"/>
    </row>
    <row r="5077" customHeight="1" spans="1:6">
      <c r="A5077" s="331"/>
      <c r="B5077" s="332"/>
      <c r="C5077" s="331"/>
      <c r="D5077" s="331"/>
      <c r="E5077" s="331"/>
      <c r="F5077" s="331"/>
    </row>
    <row r="5078" customHeight="1" spans="1:6">
      <c r="A5078" s="331"/>
      <c r="B5078" s="332"/>
      <c r="C5078" s="331"/>
      <c r="D5078" s="331"/>
      <c r="E5078" s="331"/>
      <c r="F5078" s="331"/>
    </row>
    <row r="5079" customHeight="1" spans="1:6">
      <c r="A5079" s="331"/>
      <c r="B5079" s="332"/>
      <c r="C5079" s="331"/>
      <c r="D5079" s="331"/>
      <c r="E5079" s="331"/>
      <c r="F5079" s="331"/>
    </row>
    <row r="5081" customHeight="1" spans="1:6">
      <c r="A5081" s="224" t="s">
        <v>828</v>
      </c>
      <c r="B5081" s="225"/>
      <c r="C5081" s="225"/>
      <c r="D5081" s="225"/>
      <c r="E5081" s="225"/>
      <c r="F5081" s="225"/>
    </row>
    <row r="5082" customHeight="1" spans="1:6">
      <c r="A5082" s="226" t="s">
        <v>1354</v>
      </c>
      <c r="B5082" s="226"/>
      <c r="C5082" s="226"/>
      <c r="D5082" s="226"/>
      <c r="E5082" s="226"/>
      <c r="F5082" s="226"/>
    </row>
    <row r="5083" customHeight="1" spans="1:6">
      <c r="A5083" s="227" t="s">
        <v>1355</v>
      </c>
      <c r="B5083" s="228"/>
      <c r="C5083" s="229"/>
      <c r="D5083" s="229"/>
      <c r="E5083" s="228" t="s">
        <v>941</v>
      </c>
      <c r="F5083" s="228"/>
    </row>
    <row r="5084" customHeight="1" spans="1:6">
      <c r="A5084" s="232" t="s">
        <v>834</v>
      </c>
      <c r="B5084" s="233"/>
      <c r="C5084" s="234"/>
      <c r="D5084" s="234"/>
      <c r="E5084" s="234"/>
      <c r="F5084" s="235"/>
    </row>
    <row r="5085" customHeight="1" spans="1:6">
      <c r="A5085" s="7" t="s">
        <v>104</v>
      </c>
      <c r="B5085" s="7" t="s">
        <v>835</v>
      </c>
      <c r="C5085" s="7" t="s">
        <v>159</v>
      </c>
      <c r="D5085" s="7" t="s">
        <v>422</v>
      </c>
      <c r="E5085" s="7" t="s">
        <v>160</v>
      </c>
      <c r="F5085" s="7" t="s">
        <v>18</v>
      </c>
    </row>
    <row r="5086" customHeight="1" spans="1:6">
      <c r="A5086" s="7" t="s">
        <v>836</v>
      </c>
      <c r="B5086" s="7" t="s">
        <v>837</v>
      </c>
      <c r="C5086" s="7"/>
      <c r="D5086" s="7"/>
      <c r="E5086" s="7"/>
      <c r="F5086" s="34">
        <f>F5087+F5094+F5095</f>
        <v>36.9238930920048</v>
      </c>
    </row>
    <row r="5087" customHeight="1" spans="1:6">
      <c r="A5087" s="7" t="s">
        <v>539</v>
      </c>
      <c r="B5087" s="7" t="s">
        <v>838</v>
      </c>
      <c r="C5087" s="7"/>
      <c r="D5087" s="7"/>
      <c r="E5087" s="7"/>
      <c r="F5087" s="34">
        <f>F5088+F5091+F5093</f>
        <v>35.2327224160351</v>
      </c>
    </row>
    <row r="5088" customHeight="1" spans="1:6">
      <c r="A5088" s="7">
        <v>1</v>
      </c>
      <c r="B5088" s="7" t="s">
        <v>839</v>
      </c>
      <c r="C5088" s="7" t="s">
        <v>840</v>
      </c>
      <c r="D5088" s="69"/>
      <c r="E5088" s="42">
        <f>SUM(E5089:E5090)</f>
        <v>0.7</v>
      </c>
      <c r="F5088" s="69">
        <f>SUM(F5089:F5090)</f>
        <v>4.039</v>
      </c>
    </row>
    <row r="5089" customHeight="1" spans="1:6">
      <c r="A5089" s="7"/>
      <c r="B5089" s="7" t="s">
        <v>841</v>
      </c>
      <c r="C5089" s="7" t="s">
        <v>840</v>
      </c>
      <c r="D5089" s="69">
        <f>D5051</f>
        <v>8.1</v>
      </c>
      <c r="E5089" s="42"/>
      <c r="F5089" s="69">
        <f>D5089*E5089</f>
        <v>0</v>
      </c>
    </row>
    <row r="5090" customHeight="1" spans="1:6">
      <c r="A5090" s="7"/>
      <c r="B5090" s="7" t="s">
        <v>842</v>
      </c>
      <c r="C5090" s="7" t="s">
        <v>840</v>
      </c>
      <c r="D5090" s="69">
        <f>D5052</f>
        <v>5.77</v>
      </c>
      <c r="E5090" s="42">
        <v>0.7</v>
      </c>
      <c r="F5090" s="69">
        <f>D5090*E5090</f>
        <v>4.039</v>
      </c>
    </row>
    <row r="5091" customHeight="1" spans="1:6">
      <c r="A5091" s="7">
        <v>2</v>
      </c>
      <c r="B5091" s="7" t="s">
        <v>843</v>
      </c>
      <c r="C5091" s="7"/>
      <c r="D5091" s="7"/>
      <c r="E5091" s="7"/>
      <c r="F5091" s="69">
        <f>F5092</f>
        <v>29.5159737295572</v>
      </c>
    </row>
    <row r="5092" customHeight="1" spans="1:6">
      <c r="A5092" s="7"/>
      <c r="B5092" s="7" t="s">
        <v>1356</v>
      </c>
      <c r="C5092" s="7" t="s">
        <v>428</v>
      </c>
      <c r="D5092" s="69">
        <f>台时!E21</f>
        <v>89.4423446350219</v>
      </c>
      <c r="E5092" s="7">
        <v>0.33</v>
      </c>
      <c r="F5092" s="69">
        <f>D5092*E5092</f>
        <v>29.5159737295572</v>
      </c>
    </row>
    <row r="5093" customHeight="1" spans="1:6">
      <c r="A5093" s="7">
        <v>3</v>
      </c>
      <c r="B5093" s="7" t="s">
        <v>844</v>
      </c>
      <c r="C5093" s="9" t="s">
        <v>845</v>
      </c>
      <c r="D5093" s="34">
        <f>F5088+F5091</f>
        <v>33.5549737295572</v>
      </c>
      <c r="E5093" s="7">
        <v>5</v>
      </c>
      <c r="F5093" s="69">
        <f>D5093*E5093/100</f>
        <v>1.67774868647786</v>
      </c>
    </row>
    <row r="5094" customHeight="1" spans="1:6">
      <c r="A5094" s="8" t="s">
        <v>564</v>
      </c>
      <c r="B5094" s="7" t="s">
        <v>846</v>
      </c>
      <c r="C5094" s="230">
        <f>取费表!C4</f>
        <v>0.048</v>
      </c>
      <c r="D5094" s="8"/>
      <c r="E5094" s="34">
        <f>F5088+F5091+F5093</f>
        <v>35.2327224160351</v>
      </c>
      <c r="F5094" s="69">
        <f>E5094*C5094</f>
        <v>1.69117067596968</v>
      </c>
    </row>
    <row r="5095" customHeight="1" spans="1:6">
      <c r="A5095" s="8"/>
      <c r="B5095" s="7"/>
      <c r="C5095" s="230"/>
      <c r="D5095" s="8"/>
      <c r="E5095" s="34"/>
      <c r="F5095" s="69"/>
    </row>
    <row r="5096" customHeight="1" spans="1:6">
      <c r="A5096" s="7" t="s">
        <v>439</v>
      </c>
      <c r="B5096" s="7" t="s">
        <v>847</v>
      </c>
      <c r="C5096" s="230">
        <f>取费表!E4</f>
        <v>0.04</v>
      </c>
      <c r="D5096" s="8"/>
      <c r="E5096" s="34">
        <f>F5086</f>
        <v>36.9238930920048</v>
      </c>
      <c r="F5096" s="69">
        <f>E5096*C5096</f>
        <v>1.47695572368019</v>
      </c>
    </row>
    <row r="5097" customHeight="1" spans="1:6">
      <c r="A5097" s="7" t="s">
        <v>83</v>
      </c>
      <c r="B5097" s="7" t="s">
        <v>848</v>
      </c>
      <c r="C5097" s="230">
        <f>取费表!F4</f>
        <v>0.05</v>
      </c>
      <c r="D5097" s="8"/>
      <c r="E5097" s="34">
        <f>F5096+F5086</f>
        <v>38.400848815685</v>
      </c>
      <c r="F5097" s="69">
        <f>E5097*C5097</f>
        <v>1.92004244078425</v>
      </c>
    </row>
    <row r="5098" customHeight="1" spans="1:6">
      <c r="A5098" s="7"/>
      <c r="B5098" s="7" t="s">
        <v>928</v>
      </c>
      <c r="C5098" s="230" t="s">
        <v>863</v>
      </c>
      <c r="D5098" s="38">
        <f>材料预算价!K11-材料预算价!L11</f>
        <v>4.58</v>
      </c>
      <c r="E5098" s="34">
        <f>E5092*台时!E14</f>
        <v>3.498</v>
      </c>
      <c r="F5098" s="69">
        <f>D5098*E5098</f>
        <v>16.02084</v>
      </c>
    </row>
    <row r="5099" customHeight="1" spans="1:6">
      <c r="A5099" s="7" t="s">
        <v>121</v>
      </c>
      <c r="B5099" s="7" t="s">
        <v>849</v>
      </c>
      <c r="C5099" s="231">
        <f>取费表!G4</f>
        <v>0.09</v>
      </c>
      <c r="D5099" s="8"/>
      <c r="E5099" s="34">
        <f>F5097+F5096+F5086+F5098</f>
        <v>56.3417312564692</v>
      </c>
      <c r="F5099" s="69">
        <f>E5099*C5099</f>
        <v>5.07075581308223</v>
      </c>
    </row>
    <row r="5100" customHeight="1" spans="1:6">
      <c r="A5100" s="7"/>
      <c r="B5100" s="7" t="s">
        <v>850</v>
      </c>
      <c r="C5100" s="231"/>
      <c r="D5100" s="8"/>
      <c r="E5100" s="34"/>
      <c r="F5100" s="69">
        <f>(F5086+F5096+F5097+F5099)*取费表!H4</f>
        <v>1.36174941208654</v>
      </c>
    </row>
    <row r="5101" customHeight="1" spans="1:6">
      <c r="A5101" s="8"/>
      <c r="B5101" s="7" t="s">
        <v>156</v>
      </c>
      <c r="C5101" s="8"/>
      <c r="D5101" s="8"/>
      <c r="E5101" s="7"/>
      <c r="F5101" s="69">
        <f>E5099+F5099+F5100</f>
        <v>62.774236481638</v>
      </c>
    </row>
    <row r="5102" customHeight="1" spans="1:6">
      <c r="A5102" s="8"/>
      <c r="B5102" s="7"/>
      <c r="C5102" s="8"/>
      <c r="D5102" s="8"/>
      <c r="E5102" s="7"/>
      <c r="F5102" s="69"/>
    </row>
    <row r="5103" customHeight="1" spans="1:6">
      <c r="A5103" s="8"/>
      <c r="B5103" s="7"/>
      <c r="C5103" s="8"/>
      <c r="D5103" s="8"/>
      <c r="E5103" s="7"/>
      <c r="F5103" s="69"/>
    </row>
    <row r="5104" customHeight="1" spans="1:6">
      <c r="A5104" s="8"/>
      <c r="B5104" s="7"/>
      <c r="C5104" s="8"/>
      <c r="D5104" s="8"/>
      <c r="E5104" s="7"/>
      <c r="F5104" s="69"/>
    </row>
    <row r="5105" customHeight="1" spans="1:6">
      <c r="A5105" s="8"/>
      <c r="B5105" s="7"/>
      <c r="C5105" s="8"/>
      <c r="D5105" s="8"/>
      <c r="E5105" s="7"/>
      <c r="F5105" s="69"/>
    </row>
    <row r="5106" customHeight="1" spans="1:6">
      <c r="A5106" s="8"/>
      <c r="B5106" s="7"/>
      <c r="C5106" s="8"/>
      <c r="D5106" s="8"/>
      <c r="E5106" s="7"/>
      <c r="F5106" s="69"/>
    </row>
    <row r="5107" customHeight="1" spans="1:6">
      <c r="A5107" s="8"/>
      <c r="B5107" s="7"/>
      <c r="C5107" s="8"/>
      <c r="D5107" s="8"/>
      <c r="E5107" s="7"/>
      <c r="F5107" s="69"/>
    </row>
    <row r="5108" customHeight="1" spans="1:6">
      <c r="A5108" s="8"/>
      <c r="B5108" s="7"/>
      <c r="C5108" s="8"/>
      <c r="D5108" s="8"/>
      <c r="E5108" s="7"/>
      <c r="F5108" s="69"/>
    </row>
    <row r="5109" customHeight="1" spans="1:6">
      <c r="A5109" s="8"/>
      <c r="B5109" s="7"/>
      <c r="C5109" s="8"/>
      <c r="D5109" s="8"/>
      <c r="E5109" s="7"/>
      <c r="F5109" s="69"/>
    </row>
    <row r="5110" customHeight="1" spans="1:6">
      <c r="A5110" s="8"/>
      <c r="B5110" s="7"/>
      <c r="C5110" s="8"/>
      <c r="D5110" s="8"/>
      <c r="E5110" s="7"/>
      <c r="F5110" s="69"/>
    </row>
    <row r="5111" customHeight="1" spans="1:6">
      <c r="A5111" s="8"/>
      <c r="B5111" s="7"/>
      <c r="C5111" s="8"/>
      <c r="D5111" s="8"/>
      <c r="E5111" s="7"/>
      <c r="F5111" s="69"/>
    </row>
    <row r="5112" customHeight="1" spans="1:6">
      <c r="A5112" s="8"/>
      <c r="B5112" s="7"/>
      <c r="C5112" s="8"/>
      <c r="D5112" s="8"/>
      <c r="E5112" s="7"/>
      <c r="F5112" s="69"/>
    </row>
    <row r="5113" customHeight="1" spans="1:6">
      <c r="A5113" s="8"/>
      <c r="B5113" s="7"/>
      <c r="C5113" s="8"/>
      <c r="D5113" s="8"/>
      <c r="E5113" s="7"/>
      <c r="F5113" s="69"/>
    </row>
    <row r="5114" customHeight="1" spans="1:6">
      <c r="A5114" s="8"/>
      <c r="B5114" s="7"/>
      <c r="C5114" s="8"/>
      <c r="D5114" s="8"/>
      <c r="E5114" s="7"/>
      <c r="F5114" s="69"/>
    </row>
    <row r="5115" customHeight="1" spans="1:6">
      <c r="A5115" s="8"/>
      <c r="B5115" s="7"/>
      <c r="C5115" s="8"/>
      <c r="D5115" s="8"/>
      <c r="E5115" s="7"/>
      <c r="F5115" s="69"/>
    </row>
    <row r="5116" customHeight="1" spans="1:6">
      <c r="A5116" s="8"/>
      <c r="B5116" s="7"/>
      <c r="C5116" s="8"/>
      <c r="D5116" s="8"/>
      <c r="E5116" s="7"/>
      <c r="F5116" s="69"/>
    </row>
    <row r="5117" customHeight="1" spans="1:6">
      <c r="A5117" s="8"/>
      <c r="B5117" s="7"/>
      <c r="C5117" s="8"/>
      <c r="D5117" s="8"/>
      <c r="E5117" s="7"/>
      <c r="F5117" s="69"/>
    </row>
    <row r="5118" customHeight="1" spans="1:6">
      <c r="A5118" s="8"/>
      <c r="B5118" s="7"/>
      <c r="C5118" s="8"/>
      <c r="D5118" s="8"/>
      <c r="E5118" s="7"/>
      <c r="F5118" s="69"/>
    </row>
    <row r="5119" customHeight="1" spans="1:6">
      <c r="A5119" s="284" t="s">
        <v>1357</v>
      </c>
      <c r="B5119" s="284"/>
      <c r="C5119" s="284"/>
      <c r="D5119" s="284"/>
      <c r="E5119" s="284"/>
      <c r="F5119" s="284"/>
    </row>
    <row r="5120" customHeight="1" spans="1:6">
      <c r="A5120" s="296" t="s">
        <v>1358</v>
      </c>
      <c r="B5120" s="296"/>
      <c r="C5120" s="296"/>
      <c r="D5120" s="296"/>
      <c r="E5120" s="296"/>
      <c r="F5120" s="296"/>
    </row>
    <row r="5121" customHeight="1" spans="1:6">
      <c r="A5121" s="227" t="s">
        <v>1359</v>
      </c>
      <c r="B5121" s="228"/>
      <c r="C5121" s="229"/>
      <c r="D5121" s="229"/>
      <c r="E5121" s="228" t="s">
        <v>946</v>
      </c>
      <c r="F5121" s="228"/>
    </row>
    <row r="5122" customHeight="1" spans="1:6">
      <c r="A5122" s="232" t="s">
        <v>959</v>
      </c>
      <c r="B5122" s="233"/>
      <c r="C5122" s="234"/>
      <c r="D5122" s="234"/>
      <c r="E5122" s="234"/>
      <c r="F5122" s="235"/>
    </row>
    <row r="5123" customHeight="1" spans="1:6">
      <c r="A5123" s="7" t="s">
        <v>104</v>
      </c>
      <c r="B5123" s="7" t="s">
        <v>835</v>
      </c>
      <c r="C5123" s="7" t="s">
        <v>159</v>
      </c>
      <c r="D5123" s="7" t="s">
        <v>422</v>
      </c>
      <c r="E5123" s="7" t="s">
        <v>160</v>
      </c>
      <c r="F5123" s="7" t="s">
        <v>18</v>
      </c>
    </row>
    <row r="5124" customHeight="1" spans="1:6">
      <c r="A5124" s="7" t="s">
        <v>1105</v>
      </c>
      <c r="B5124" s="7" t="s">
        <v>837</v>
      </c>
      <c r="C5124" s="7"/>
      <c r="D5124" s="7"/>
      <c r="E5124" s="7"/>
      <c r="F5124" s="34">
        <f>F5125+F5131+F5132</f>
        <v>9616.89864</v>
      </c>
    </row>
    <row r="5125" customHeight="1" spans="1:6">
      <c r="A5125" s="7" t="s">
        <v>539</v>
      </c>
      <c r="B5125" s="7" t="s">
        <v>838</v>
      </c>
      <c r="C5125" s="7"/>
      <c r="D5125" s="7"/>
      <c r="E5125" s="7"/>
      <c r="F5125" s="34">
        <f>F5126+F5129+F5130</f>
        <v>9176.43</v>
      </c>
    </row>
    <row r="5126" customHeight="1" spans="1:6">
      <c r="A5126" s="7" t="s">
        <v>1105</v>
      </c>
      <c r="B5126" s="7" t="s">
        <v>839</v>
      </c>
      <c r="C5126" s="7" t="s">
        <v>840</v>
      </c>
      <c r="D5126" s="69"/>
      <c r="E5126" s="42">
        <f>SUM(E5127:E5128)</f>
        <v>1239.9</v>
      </c>
      <c r="F5126" s="69">
        <f>SUM(F5127:F5128)</f>
        <v>9176.43</v>
      </c>
    </row>
    <row r="5127" customHeight="1" spans="1:6">
      <c r="A5127" s="7"/>
      <c r="B5127" s="7" t="s">
        <v>841</v>
      </c>
      <c r="C5127" s="7" t="s">
        <v>840</v>
      </c>
      <c r="D5127" s="69">
        <f>D5089</f>
        <v>8.1</v>
      </c>
      <c r="E5127" s="42">
        <v>867.9</v>
      </c>
      <c r="F5127" s="69">
        <f>D5127*E5127</f>
        <v>7029.99</v>
      </c>
    </row>
    <row r="5128" customHeight="1" spans="1:6">
      <c r="A5128" s="7"/>
      <c r="B5128" s="7" t="s">
        <v>842</v>
      </c>
      <c r="C5128" s="7" t="s">
        <v>840</v>
      </c>
      <c r="D5128" s="69">
        <f>D5090</f>
        <v>5.77</v>
      </c>
      <c r="E5128" s="42">
        <v>372</v>
      </c>
      <c r="F5128" s="69">
        <f>D5128*E5128</f>
        <v>2146.44</v>
      </c>
    </row>
    <row r="5129" customHeight="1" spans="1:6">
      <c r="A5129" s="7" t="s">
        <v>46</v>
      </c>
      <c r="B5129" s="7" t="s">
        <v>912</v>
      </c>
      <c r="C5129" s="7"/>
      <c r="D5129" s="7"/>
      <c r="E5129" s="7"/>
      <c r="F5129" s="69"/>
    </row>
    <row r="5130" customHeight="1" spans="1:6">
      <c r="A5130" s="7" t="s">
        <v>83</v>
      </c>
      <c r="B5130" s="7" t="s">
        <v>859</v>
      </c>
      <c r="C5130" s="7"/>
      <c r="D5130" s="7"/>
      <c r="E5130" s="7"/>
      <c r="F5130" s="69"/>
    </row>
    <row r="5131" customHeight="1" spans="1:6">
      <c r="A5131" s="7" t="s">
        <v>564</v>
      </c>
      <c r="B5131" s="7" t="s">
        <v>846</v>
      </c>
      <c r="C5131" s="52">
        <f>取费表!C6</f>
        <v>0.048</v>
      </c>
      <c r="D5131" s="69"/>
      <c r="E5131" s="34">
        <f>F5125</f>
        <v>9176.43</v>
      </c>
      <c r="F5131" s="69">
        <f>E5131*C5131</f>
        <v>440.46864</v>
      </c>
    </row>
    <row r="5132" customHeight="1" spans="1:6">
      <c r="A5132" s="7"/>
      <c r="B5132" s="7"/>
      <c r="C5132" s="52"/>
      <c r="D5132" s="69"/>
      <c r="E5132" s="34"/>
      <c r="F5132" s="69"/>
    </row>
    <row r="5133" customHeight="1" spans="1:6">
      <c r="A5133" s="7" t="s">
        <v>439</v>
      </c>
      <c r="B5133" s="7" t="s">
        <v>847</v>
      </c>
      <c r="C5133" s="52">
        <f>取费表!E6</f>
        <v>0.085</v>
      </c>
      <c r="D5133" s="69"/>
      <c r="E5133" s="34">
        <f>F5124</f>
        <v>9616.89864</v>
      </c>
      <c r="F5133" s="69">
        <f>E5133*C5133</f>
        <v>817.4363844</v>
      </c>
    </row>
    <row r="5134" customHeight="1" spans="1:6">
      <c r="A5134" s="7" t="s">
        <v>83</v>
      </c>
      <c r="B5134" s="7" t="s">
        <v>848</v>
      </c>
      <c r="C5134" s="52">
        <f>取费表!F6</f>
        <v>0.07</v>
      </c>
      <c r="D5134" s="69"/>
      <c r="E5134" s="34">
        <f>F5124+F5133</f>
        <v>10434.3350244</v>
      </c>
      <c r="F5134" s="69">
        <f>E5134*C5134</f>
        <v>730.403451708</v>
      </c>
    </row>
    <row r="5135" customHeight="1" spans="1:6">
      <c r="A5135" s="7" t="s">
        <v>121</v>
      </c>
      <c r="B5135" s="7" t="s">
        <v>861</v>
      </c>
      <c r="C5135" s="7"/>
      <c r="D5135" s="69"/>
      <c r="E5135" s="7"/>
      <c r="F5135" s="69">
        <f>SUM(F5136:F5136)</f>
        <v>0</v>
      </c>
    </row>
    <row r="5136" customHeight="1" spans="1:6">
      <c r="A5136" s="7"/>
      <c r="B5136" s="7"/>
      <c r="C5136" s="7"/>
      <c r="D5136" s="69"/>
      <c r="E5136" s="38"/>
      <c r="F5136" s="69"/>
    </row>
    <row r="5137" customHeight="1" spans="1:6">
      <c r="A5137" s="7" t="s">
        <v>135</v>
      </c>
      <c r="B5137" s="7" t="s">
        <v>849</v>
      </c>
      <c r="C5137" s="53">
        <f>取费表!G6</f>
        <v>0.09</v>
      </c>
      <c r="D5137" s="69"/>
      <c r="E5137" s="34">
        <f>F5135+F5134+F5133+F5124</f>
        <v>11164.738476108</v>
      </c>
      <c r="F5137" s="69">
        <f>E5137*C5137</f>
        <v>1004.82646284972</v>
      </c>
    </row>
    <row r="5138" customHeight="1" spans="1:6">
      <c r="A5138" s="7"/>
      <c r="B5138" s="7" t="s">
        <v>850</v>
      </c>
      <c r="C5138" s="53"/>
      <c r="D5138" s="69"/>
      <c r="E5138" s="34"/>
      <c r="F5138" s="69">
        <f>(F5124+F5133+F5134+F5135+F5137)*0.03</f>
        <v>365.086948168732</v>
      </c>
    </row>
    <row r="5139" customHeight="1" spans="1:6">
      <c r="A5139" s="7"/>
      <c r="B5139" s="7" t="s">
        <v>156</v>
      </c>
      <c r="C5139" s="7"/>
      <c r="D5139" s="69"/>
      <c r="E5139" s="7"/>
      <c r="F5139" s="69">
        <f>E5137+F5137+F5138</f>
        <v>12534.6518871265</v>
      </c>
    </row>
    <row r="5140" customHeight="1" spans="1:6">
      <c r="A5140" s="7"/>
      <c r="B5140" s="7"/>
      <c r="C5140" s="7"/>
      <c r="D5140" s="69"/>
      <c r="E5140" s="7"/>
      <c r="F5140" s="69"/>
    </row>
    <row r="5141" customHeight="1" spans="1:6">
      <c r="A5141" s="146" t="s">
        <v>1360</v>
      </c>
      <c r="B5141" s="147"/>
      <c r="C5141" s="7" t="s">
        <v>175</v>
      </c>
      <c r="D5141" s="69"/>
      <c r="E5141" s="7"/>
      <c r="F5141" s="69">
        <f>80*1.1</f>
        <v>88</v>
      </c>
    </row>
    <row r="5142" customHeight="1" spans="1:6">
      <c r="A5142" s="146" t="s">
        <v>1361</v>
      </c>
      <c r="B5142" s="147"/>
      <c r="C5142" s="7" t="s">
        <v>175</v>
      </c>
      <c r="D5142" s="69"/>
      <c r="E5142" s="7"/>
      <c r="F5142" s="69">
        <f>F5139*0.1/100</f>
        <v>12.5346518871265</v>
      </c>
    </row>
    <row r="5143" customHeight="1" spans="1:6">
      <c r="A5143" s="7"/>
      <c r="B5143" s="7"/>
      <c r="C5143" s="7"/>
      <c r="D5143" s="69"/>
      <c r="E5143" s="7"/>
      <c r="F5143" s="69"/>
    </row>
    <row r="5144" customHeight="1" spans="1:6">
      <c r="A5144" s="7"/>
      <c r="B5144" s="7" t="s">
        <v>1362</v>
      </c>
      <c r="C5144" s="7" t="s">
        <v>175</v>
      </c>
      <c r="D5144" s="69"/>
      <c r="E5144" s="7"/>
      <c r="F5144" s="69">
        <f>F5141+F5142</f>
        <v>100.534651887126</v>
      </c>
    </row>
    <row r="5145" customHeight="1" spans="1:6">
      <c r="A5145" s="7"/>
      <c r="B5145" s="7"/>
      <c r="C5145" s="7"/>
      <c r="D5145" s="69"/>
      <c r="E5145" s="7"/>
      <c r="F5145" s="69"/>
    </row>
    <row r="5146" customHeight="1" spans="1:6">
      <c r="A5146" s="7"/>
      <c r="B5146" s="7" t="s">
        <v>1363</v>
      </c>
      <c r="C5146" s="7" t="s">
        <v>175</v>
      </c>
      <c r="D5146" s="69"/>
      <c r="E5146" s="7"/>
      <c r="F5146" s="69">
        <v>157.58</v>
      </c>
    </row>
    <row r="5147" customHeight="1" spans="1:6">
      <c r="A5147" s="7"/>
      <c r="B5147" s="7" t="s">
        <v>1364</v>
      </c>
      <c r="C5147" s="7" t="s">
        <v>175</v>
      </c>
      <c r="D5147" s="69"/>
      <c r="E5147" s="7"/>
      <c r="F5147" s="69">
        <f>F5146+F5142</f>
        <v>170.114651887126</v>
      </c>
    </row>
    <row r="5148" customHeight="1" spans="1:10">
      <c r="A5148" s="7"/>
      <c r="B5148" s="7"/>
      <c r="C5148" s="7"/>
      <c r="D5148" s="69"/>
      <c r="E5148" s="7"/>
      <c r="F5148" s="69"/>
      <c r="H5148" s="223">
        <f>0.25*0.2</f>
        <v>0.05</v>
      </c>
      <c r="J5148" s="223">
        <v>3.36</v>
      </c>
    </row>
    <row r="5149" customHeight="1" spans="1:6">
      <c r="A5149" s="7"/>
      <c r="B5149" s="7" t="s">
        <v>1365</v>
      </c>
      <c r="C5149" s="7" t="s">
        <v>175</v>
      </c>
      <c r="D5149" s="69"/>
      <c r="E5149" s="7"/>
      <c r="F5149" s="69">
        <v>95</v>
      </c>
    </row>
    <row r="5150" customHeight="1" spans="1:10">
      <c r="A5150" s="7"/>
      <c r="B5150" s="7" t="s">
        <v>1366</v>
      </c>
      <c r="C5150" s="7" t="s">
        <v>175</v>
      </c>
      <c r="D5150" s="69"/>
      <c r="E5150" s="7"/>
      <c r="F5150" s="69">
        <f>F5149+F5142</f>
        <v>107.534651887126</v>
      </c>
      <c r="H5150" s="223">
        <v>1</v>
      </c>
      <c r="J5150" s="223">
        <f>J5148*H5150/H5148</f>
        <v>67.2</v>
      </c>
    </row>
    <row r="5151" customHeight="1" spans="1:6">
      <c r="A5151" s="7"/>
      <c r="B5151" s="7"/>
      <c r="C5151" s="7"/>
      <c r="D5151" s="69"/>
      <c r="E5151" s="7"/>
      <c r="F5151" s="69"/>
    </row>
    <row r="5152" customHeight="1" spans="1:6">
      <c r="A5152" s="7"/>
      <c r="B5152" s="7" t="s">
        <v>1367</v>
      </c>
      <c r="C5152" s="7" t="s">
        <v>175</v>
      </c>
      <c r="D5152" s="69"/>
      <c r="E5152" s="7"/>
      <c r="F5152" s="69">
        <v>100</v>
      </c>
    </row>
    <row r="5153" customHeight="1" spans="1:6">
      <c r="A5153" s="7"/>
      <c r="B5153" s="7" t="s">
        <v>1368</v>
      </c>
      <c r="C5153" s="7" t="s">
        <v>175</v>
      </c>
      <c r="D5153" s="69"/>
      <c r="E5153" s="7"/>
      <c r="F5153" s="69">
        <f>F5152+F5142</f>
        <v>112.534651887126</v>
      </c>
    </row>
    <row r="5154" customHeight="1" spans="1:6">
      <c r="A5154" s="7"/>
      <c r="B5154" s="7"/>
      <c r="C5154" s="7"/>
      <c r="D5154" s="69"/>
      <c r="E5154" s="7"/>
      <c r="F5154" s="69"/>
    </row>
    <row r="5155" customHeight="1" spans="1:6">
      <c r="A5155" s="7"/>
      <c r="B5155" s="7" t="s">
        <v>1369</v>
      </c>
      <c r="C5155" s="7" t="s">
        <v>175</v>
      </c>
      <c r="D5155" s="69"/>
      <c r="E5155" s="7"/>
      <c r="F5155" s="69">
        <f>65*1.1</f>
        <v>71.5</v>
      </c>
    </row>
    <row r="5156" customHeight="1" spans="1:6">
      <c r="A5156" s="7"/>
      <c r="B5156" s="7" t="s">
        <v>1370</v>
      </c>
      <c r="C5156" s="7" t="s">
        <v>175</v>
      </c>
      <c r="D5156" s="69"/>
      <c r="E5156" s="7"/>
      <c r="F5156" s="69">
        <f>F5155+F5142</f>
        <v>84.0346518871264</v>
      </c>
    </row>
    <row r="5157" ht="17.1" customHeight="1" spans="1:6">
      <c r="A5157" s="224" t="s">
        <v>828</v>
      </c>
      <c r="B5157" s="225"/>
      <c r="C5157" s="225"/>
      <c r="D5157" s="225"/>
      <c r="E5157" s="225"/>
      <c r="F5157" s="225"/>
    </row>
    <row r="5158" ht="17.1" customHeight="1" spans="1:6">
      <c r="A5158" s="296" t="s">
        <v>1371</v>
      </c>
      <c r="B5158" s="296"/>
      <c r="C5158" s="296"/>
      <c r="D5158" s="296"/>
      <c r="E5158" s="296"/>
      <c r="F5158" s="296"/>
    </row>
    <row r="5159" ht="17.1" customHeight="1" spans="1:6">
      <c r="A5159" s="227" t="s">
        <v>1372</v>
      </c>
      <c r="B5159" s="228"/>
      <c r="C5159" s="229"/>
      <c r="D5159" s="229"/>
      <c r="E5159" s="228" t="s">
        <v>1373</v>
      </c>
      <c r="F5159" s="228"/>
    </row>
    <row r="5160" ht="17.1" customHeight="1" spans="1:6">
      <c r="A5160" s="232" t="s">
        <v>911</v>
      </c>
      <c r="B5160" s="233" t="s">
        <v>1374</v>
      </c>
      <c r="C5160" s="233"/>
      <c r="D5160" s="233"/>
      <c r="E5160" s="233"/>
      <c r="F5160" s="147"/>
    </row>
    <row r="5161" ht="17.1" customHeight="1" spans="1:6">
      <c r="A5161" s="7" t="s">
        <v>104</v>
      </c>
      <c r="B5161" s="7" t="s">
        <v>835</v>
      </c>
      <c r="C5161" s="7" t="s">
        <v>159</v>
      </c>
      <c r="D5161" s="7" t="s">
        <v>422</v>
      </c>
      <c r="E5161" s="7" t="s">
        <v>160</v>
      </c>
      <c r="F5161" s="7" t="s">
        <v>18</v>
      </c>
    </row>
    <row r="5162" ht="17.1" customHeight="1" spans="1:6">
      <c r="A5162" s="7" t="s">
        <v>836</v>
      </c>
      <c r="B5162" s="7" t="s">
        <v>837</v>
      </c>
      <c r="C5162" s="7"/>
      <c r="D5162" s="7"/>
      <c r="E5162" s="7"/>
      <c r="F5162" s="34">
        <f>F5163+F5171</f>
        <v>45.61656848</v>
      </c>
    </row>
    <row r="5163" ht="17.1" customHeight="1" spans="1:6">
      <c r="A5163" s="7" t="s">
        <v>539</v>
      </c>
      <c r="B5163" s="7" t="s">
        <v>838</v>
      </c>
      <c r="C5163" s="7"/>
      <c r="D5163" s="7"/>
      <c r="E5163" s="7"/>
      <c r="F5163" s="34">
        <f>F5164+F5167+F5170</f>
        <v>43.52726</v>
      </c>
    </row>
    <row r="5164" ht="17.1" customHeight="1" spans="1:6">
      <c r="A5164" s="7">
        <v>1</v>
      </c>
      <c r="B5164" s="7" t="s">
        <v>839</v>
      </c>
      <c r="C5164" s="7" t="s">
        <v>840</v>
      </c>
      <c r="D5164" s="69"/>
      <c r="E5164" s="42">
        <f>SUM(E5165:E5166)</f>
        <v>5.76</v>
      </c>
      <c r="F5164" s="69">
        <f>SUM(F5165:F5166)</f>
        <v>42.62976</v>
      </c>
    </row>
    <row r="5165" ht="17.1" customHeight="1" spans="1:6">
      <c r="A5165" s="7"/>
      <c r="B5165" s="7" t="s">
        <v>841</v>
      </c>
      <c r="C5165" s="7" t="s">
        <v>840</v>
      </c>
      <c r="D5165" s="69">
        <f>D5127</f>
        <v>8.1</v>
      </c>
      <c r="E5165" s="42">
        <f>0.504*8</f>
        <v>4.032</v>
      </c>
      <c r="F5165" s="69">
        <f t="shared" ref="F5165:F5169" si="267">D5165*E5165</f>
        <v>32.6592</v>
      </c>
    </row>
    <row r="5166" ht="17.1" customHeight="1" spans="1:6">
      <c r="A5166" s="7"/>
      <c r="B5166" s="7" t="s">
        <v>842</v>
      </c>
      <c r="C5166" s="7" t="s">
        <v>840</v>
      </c>
      <c r="D5166" s="69">
        <f>D5128</f>
        <v>5.77</v>
      </c>
      <c r="E5166" s="42">
        <f>0.216*8</f>
        <v>1.728</v>
      </c>
      <c r="F5166" s="69">
        <f t="shared" si="267"/>
        <v>9.97056</v>
      </c>
    </row>
    <row r="5167" ht="17.1" customHeight="1" spans="1:6">
      <c r="A5167" s="7">
        <v>2</v>
      </c>
      <c r="B5167" s="7" t="s">
        <v>1254</v>
      </c>
      <c r="C5167" s="9"/>
      <c r="D5167" s="38"/>
      <c r="E5167" s="38"/>
      <c r="F5167" s="38">
        <f>SUM(F5168:F5169)</f>
        <v>0.8975</v>
      </c>
    </row>
    <row r="5168" ht="17.1" customHeight="1" spans="1:6">
      <c r="A5168" s="7"/>
      <c r="B5168" s="336" t="s">
        <v>1375</v>
      </c>
      <c r="C5168" s="35" t="s">
        <v>790</v>
      </c>
      <c r="D5168" s="38"/>
      <c r="E5168" s="38">
        <v>10.1</v>
      </c>
      <c r="F5168" s="38">
        <f t="shared" si="267"/>
        <v>0</v>
      </c>
    </row>
    <row r="5169" ht="17.1" customHeight="1" spans="1:6">
      <c r="A5169" s="7"/>
      <c r="B5169" s="336" t="s">
        <v>913</v>
      </c>
      <c r="C5169" s="39" t="s">
        <v>1320</v>
      </c>
      <c r="D5169" s="38">
        <f>材料预算价!K13</f>
        <v>3.59</v>
      </c>
      <c r="E5169" s="38">
        <v>0.25</v>
      </c>
      <c r="F5169" s="38">
        <f t="shared" si="267"/>
        <v>0.8975</v>
      </c>
    </row>
    <row r="5170" ht="17.1" customHeight="1" spans="1:6">
      <c r="A5170" s="7">
        <v>3</v>
      </c>
      <c r="B5170" s="7" t="s">
        <v>843</v>
      </c>
      <c r="C5170" s="9"/>
      <c r="D5170" s="38"/>
      <c r="E5170" s="38"/>
      <c r="F5170" s="38"/>
    </row>
    <row r="5171" ht="17.1" customHeight="1" spans="1:6">
      <c r="A5171" s="7" t="s">
        <v>564</v>
      </c>
      <c r="B5171" s="7" t="s">
        <v>846</v>
      </c>
      <c r="C5171" s="230">
        <f>C5191</f>
        <v>0.048</v>
      </c>
      <c r="D5171" s="38"/>
      <c r="E5171" s="38">
        <f>F5163</f>
        <v>43.52726</v>
      </c>
      <c r="F5171" s="38">
        <f t="shared" ref="F5171:F5174" si="268">E5171*C5171</f>
        <v>2.08930848</v>
      </c>
    </row>
    <row r="5172" ht="17.1" customHeight="1" spans="1:6">
      <c r="A5172" s="7" t="s">
        <v>439</v>
      </c>
      <c r="B5172" s="7" t="s">
        <v>847</v>
      </c>
      <c r="C5172" s="230">
        <f>C5192</f>
        <v>0.0725</v>
      </c>
      <c r="D5172" s="38"/>
      <c r="E5172" s="38">
        <f>F5162</f>
        <v>45.61656848</v>
      </c>
      <c r="F5172" s="38">
        <f t="shared" si="268"/>
        <v>3.3072012148</v>
      </c>
    </row>
    <row r="5173" ht="17.1" customHeight="1" spans="1:6">
      <c r="A5173" s="7" t="s">
        <v>83</v>
      </c>
      <c r="B5173" s="7" t="s">
        <v>848</v>
      </c>
      <c r="C5173" s="230">
        <f>C5193</f>
        <v>0.05</v>
      </c>
      <c r="D5173" s="38"/>
      <c r="E5173" s="38">
        <f>F5172+F5162</f>
        <v>48.9237696948</v>
      </c>
      <c r="F5173" s="38">
        <f t="shared" si="268"/>
        <v>2.44618848474</v>
      </c>
    </row>
    <row r="5174" ht="17.1" customHeight="1" spans="1:6">
      <c r="A5174" s="7" t="s">
        <v>135</v>
      </c>
      <c r="B5174" s="7" t="s">
        <v>849</v>
      </c>
      <c r="C5174" s="230">
        <f>C5194</f>
        <v>0.09</v>
      </c>
      <c r="D5174" s="38"/>
      <c r="E5174" s="34">
        <f>F5173+F5172+F5162</f>
        <v>51.36995817954</v>
      </c>
      <c r="F5174" s="38">
        <f t="shared" si="268"/>
        <v>4.6232962361586</v>
      </c>
    </row>
    <row r="5175" ht="17.1" customHeight="1" spans="1:6">
      <c r="A5175" s="7"/>
      <c r="B5175" s="7" t="s">
        <v>850</v>
      </c>
      <c r="C5175" s="231"/>
      <c r="D5175" s="38"/>
      <c r="E5175" s="34"/>
      <c r="F5175" s="38">
        <f>(E5174+F5174)*取费表!H12</f>
        <v>1.67979763247096</v>
      </c>
    </row>
    <row r="5176" ht="17.1" customHeight="1" spans="1:6">
      <c r="A5176" s="7"/>
      <c r="B5176" s="7" t="s">
        <v>156</v>
      </c>
      <c r="C5176" s="7"/>
      <c r="D5176" s="38"/>
      <c r="E5176" s="38"/>
      <c r="F5176" s="38">
        <f>F5174+E5174+F5175</f>
        <v>57.6730520481696</v>
      </c>
    </row>
    <row r="5177" ht="17.1" customHeight="1" spans="1:6">
      <c r="A5177" s="224" t="s">
        <v>828</v>
      </c>
      <c r="B5177" s="225"/>
      <c r="C5177" s="225"/>
      <c r="D5177" s="225"/>
      <c r="E5177" s="225"/>
      <c r="F5177" s="225"/>
    </row>
    <row r="5178" ht="17.1" customHeight="1" spans="1:6">
      <c r="A5178" s="296" t="s">
        <v>1371</v>
      </c>
      <c r="B5178" s="296"/>
      <c r="C5178" s="296"/>
      <c r="D5178" s="296"/>
      <c r="E5178" s="296"/>
      <c r="F5178" s="296"/>
    </row>
    <row r="5179" ht="17.1" customHeight="1" spans="1:6">
      <c r="A5179" s="227" t="s">
        <v>1376</v>
      </c>
      <c r="B5179" s="228"/>
      <c r="C5179" s="229"/>
      <c r="D5179" s="229"/>
      <c r="E5179" s="228" t="s">
        <v>1373</v>
      </c>
      <c r="F5179" s="228"/>
    </row>
    <row r="5180" ht="17.1" customHeight="1" spans="1:6">
      <c r="A5180" s="232" t="s">
        <v>911</v>
      </c>
      <c r="B5180" s="233" t="s">
        <v>1377</v>
      </c>
      <c r="C5180" s="233"/>
      <c r="D5180" s="233"/>
      <c r="E5180" s="233"/>
      <c r="F5180" s="147"/>
    </row>
    <row r="5181" ht="17.1" customHeight="1" spans="1:6">
      <c r="A5181" s="7" t="s">
        <v>104</v>
      </c>
      <c r="B5181" s="7" t="s">
        <v>835</v>
      </c>
      <c r="C5181" s="7" t="s">
        <v>159</v>
      </c>
      <c r="D5181" s="7" t="s">
        <v>422</v>
      </c>
      <c r="E5181" s="7" t="s">
        <v>160</v>
      </c>
      <c r="F5181" s="7" t="s">
        <v>18</v>
      </c>
    </row>
    <row r="5182" ht="17.1" customHeight="1" spans="1:6">
      <c r="A5182" s="7" t="s">
        <v>836</v>
      </c>
      <c r="B5182" s="7" t="s">
        <v>837</v>
      </c>
      <c r="C5182" s="7"/>
      <c r="D5182" s="7"/>
      <c r="E5182" s="7"/>
      <c r="F5182" s="34">
        <f>F5183+F5191</f>
        <v>116.42936256</v>
      </c>
    </row>
    <row r="5183" ht="17.1" customHeight="1" spans="1:6">
      <c r="A5183" s="7" t="s">
        <v>539</v>
      </c>
      <c r="B5183" s="7" t="s">
        <v>838</v>
      </c>
      <c r="C5183" s="7"/>
      <c r="D5183" s="7"/>
      <c r="E5183" s="7"/>
      <c r="F5183" s="34">
        <f>F5184+F5187+F5190</f>
        <v>111.09672</v>
      </c>
    </row>
    <row r="5184" ht="17.1" customHeight="1" spans="1:6">
      <c r="A5184" s="7">
        <v>1</v>
      </c>
      <c r="B5184" s="7" t="s">
        <v>839</v>
      </c>
      <c r="C5184" s="7" t="s">
        <v>840</v>
      </c>
      <c r="D5184" s="69"/>
      <c r="E5184" s="42">
        <f>SUM(E5185:E5186)</f>
        <v>14.72</v>
      </c>
      <c r="F5184" s="69">
        <f>SUM(F5185:F5186)</f>
        <v>108.94272</v>
      </c>
    </row>
    <row r="5185" ht="17.1" customHeight="1" spans="1:6">
      <c r="A5185" s="7"/>
      <c r="B5185" s="7" t="s">
        <v>841</v>
      </c>
      <c r="C5185" s="7" t="s">
        <v>840</v>
      </c>
      <c r="D5185" s="69">
        <f>D5127</f>
        <v>8.1</v>
      </c>
      <c r="E5185" s="42">
        <f>1.288*8</f>
        <v>10.304</v>
      </c>
      <c r="F5185" s="69">
        <f t="shared" ref="F5185:F5189" si="269">D5185*E5185</f>
        <v>83.4624</v>
      </c>
    </row>
    <row r="5186" ht="17.1" customHeight="1" spans="1:6">
      <c r="A5186" s="7"/>
      <c r="B5186" s="7" t="s">
        <v>842</v>
      </c>
      <c r="C5186" s="7" t="s">
        <v>840</v>
      </c>
      <c r="D5186" s="69">
        <f>D5128</f>
        <v>5.77</v>
      </c>
      <c r="E5186" s="42">
        <f>0.552*8</f>
        <v>4.416</v>
      </c>
      <c r="F5186" s="69">
        <f t="shared" si="269"/>
        <v>25.48032</v>
      </c>
    </row>
    <row r="5187" ht="17.1" customHeight="1" spans="1:6">
      <c r="A5187" s="7">
        <v>2</v>
      </c>
      <c r="B5187" s="7" t="s">
        <v>1254</v>
      </c>
      <c r="C5187" s="9"/>
      <c r="D5187" s="38"/>
      <c r="E5187" s="38"/>
      <c r="F5187" s="38">
        <f>SUM(F5188:F5189)</f>
        <v>2.154</v>
      </c>
    </row>
    <row r="5188" ht="17.1" customHeight="1" spans="1:6">
      <c r="A5188" s="7"/>
      <c r="B5188" s="336" t="s">
        <v>1375</v>
      </c>
      <c r="C5188" s="35" t="s">
        <v>790</v>
      </c>
      <c r="D5188" s="38"/>
      <c r="E5188" s="38">
        <v>10.1</v>
      </c>
      <c r="F5188" s="38">
        <f t="shared" si="269"/>
        <v>0</v>
      </c>
    </row>
    <row r="5189" ht="17.1" customHeight="1" spans="1:6">
      <c r="A5189" s="7"/>
      <c r="B5189" s="336" t="s">
        <v>913</v>
      </c>
      <c r="C5189" s="39" t="s">
        <v>1320</v>
      </c>
      <c r="D5189" s="38">
        <f>材料预算价!K13</f>
        <v>3.59</v>
      </c>
      <c r="E5189" s="38">
        <v>0.6</v>
      </c>
      <c r="F5189" s="38">
        <f t="shared" si="269"/>
        <v>2.154</v>
      </c>
    </row>
    <row r="5190" ht="17.1" customHeight="1" spans="1:6">
      <c r="A5190" s="7">
        <v>3</v>
      </c>
      <c r="B5190" s="7" t="s">
        <v>843</v>
      </c>
      <c r="C5190" s="9"/>
      <c r="D5190" s="38"/>
      <c r="E5190" s="38"/>
      <c r="F5190" s="38"/>
    </row>
    <row r="5191" ht="17.1" customHeight="1" spans="1:6">
      <c r="A5191" s="7" t="s">
        <v>564</v>
      </c>
      <c r="B5191" s="7" t="s">
        <v>846</v>
      </c>
      <c r="C5191" s="230">
        <f>取费表!C12</f>
        <v>0.048</v>
      </c>
      <c r="D5191" s="38"/>
      <c r="E5191" s="38">
        <f>F5183</f>
        <v>111.09672</v>
      </c>
      <c r="F5191" s="38">
        <f>E5191*C5191</f>
        <v>5.33264256</v>
      </c>
    </row>
    <row r="5192" ht="17.1" customHeight="1" spans="1:6">
      <c r="A5192" s="7" t="s">
        <v>439</v>
      </c>
      <c r="B5192" s="7" t="s">
        <v>847</v>
      </c>
      <c r="C5192" s="230">
        <f>取费表!E12</f>
        <v>0.0725</v>
      </c>
      <c r="D5192" s="38"/>
      <c r="E5192" s="38">
        <f>F5182</f>
        <v>116.42936256</v>
      </c>
      <c r="F5192" s="38">
        <f>E5192*C5192</f>
        <v>8.4411287856</v>
      </c>
    </row>
    <row r="5193" ht="17.1" customHeight="1" spans="1:6">
      <c r="A5193" s="7" t="s">
        <v>83</v>
      </c>
      <c r="B5193" s="7" t="s">
        <v>848</v>
      </c>
      <c r="C5193" s="230">
        <f>取费表!F12</f>
        <v>0.05</v>
      </c>
      <c r="D5193" s="38"/>
      <c r="E5193" s="38">
        <f>F5192+F5182</f>
        <v>124.8704913456</v>
      </c>
      <c r="F5193" s="38">
        <f>E5193*C5193</f>
        <v>6.24352456728</v>
      </c>
    </row>
    <row r="5194" ht="17.1" customHeight="1" spans="1:6">
      <c r="A5194" s="7" t="s">
        <v>135</v>
      </c>
      <c r="B5194" s="7" t="s">
        <v>849</v>
      </c>
      <c r="C5194" s="231">
        <f>C5137</f>
        <v>0.09</v>
      </c>
      <c r="D5194" s="38"/>
      <c r="E5194" s="34">
        <f>F5193+F5192+F5182</f>
        <v>131.11401591288</v>
      </c>
      <c r="F5194" s="38">
        <f>E5194*C5194</f>
        <v>11.8002614321592</v>
      </c>
    </row>
    <row r="5195" ht="17.1" customHeight="1" spans="1:6">
      <c r="A5195" s="7"/>
      <c r="B5195" s="7" t="s">
        <v>850</v>
      </c>
      <c r="C5195" s="231"/>
      <c r="D5195" s="38"/>
      <c r="E5195" s="34"/>
      <c r="F5195" s="38">
        <f>(E5194+F5194)*取费表!H12</f>
        <v>4.28742832035118</v>
      </c>
    </row>
    <row r="5196" ht="17.1" customHeight="1" spans="1:6">
      <c r="A5196" s="7"/>
      <c r="B5196" s="7" t="s">
        <v>156</v>
      </c>
      <c r="C5196" s="7"/>
      <c r="D5196" s="38"/>
      <c r="E5196" s="38"/>
      <c r="F5196" s="38">
        <f>F5194+E5194+F5195</f>
        <v>147.20170566539</v>
      </c>
    </row>
    <row r="5197" ht="16.9" customHeight="1" spans="1:6">
      <c r="A5197" s="224" t="s">
        <v>828</v>
      </c>
      <c r="B5197" s="225"/>
      <c r="C5197" s="225"/>
      <c r="D5197" s="225"/>
      <c r="E5197" s="225"/>
      <c r="F5197" s="225"/>
    </row>
    <row r="5198" ht="16.9" customHeight="1" spans="1:6">
      <c r="A5198" s="296" t="s">
        <v>1378</v>
      </c>
      <c r="B5198" s="296"/>
      <c r="C5198" s="296"/>
      <c r="D5198" s="296"/>
      <c r="E5198" s="296"/>
      <c r="F5198" s="296"/>
    </row>
    <row r="5199" ht="16.9" customHeight="1" spans="1:6">
      <c r="A5199" s="227" t="s">
        <v>1379</v>
      </c>
      <c r="B5199" s="228"/>
      <c r="C5199" s="229"/>
      <c r="D5199" s="229"/>
      <c r="E5199" s="228" t="s">
        <v>1373</v>
      </c>
      <c r="F5199" s="228"/>
    </row>
    <row r="5200" ht="16.9" customHeight="1" spans="1:6">
      <c r="A5200" s="232" t="s">
        <v>911</v>
      </c>
      <c r="B5200" s="233" t="s">
        <v>1380</v>
      </c>
      <c r="C5200" s="233"/>
      <c r="D5200" s="233"/>
      <c r="E5200" s="233"/>
      <c r="F5200" s="147"/>
    </row>
    <row r="5201" ht="16.9" customHeight="1" spans="1:6">
      <c r="A5201" s="7" t="s">
        <v>104</v>
      </c>
      <c r="B5201" s="7" t="s">
        <v>835</v>
      </c>
      <c r="C5201" s="7" t="s">
        <v>159</v>
      </c>
      <c r="D5201" s="7" t="s">
        <v>422</v>
      </c>
      <c r="E5201" s="7" t="s">
        <v>160</v>
      </c>
      <c r="F5201" s="7" t="s">
        <v>18</v>
      </c>
    </row>
    <row r="5202" ht="16.9" customHeight="1" spans="1:6">
      <c r="A5202" s="7" t="s">
        <v>836</v>
      </c>
      <c r="B5202" s="7" t="s">
        <v>837</v>
      </c>
      <c r="C5202" s="7"/>
      <c r="D5202" s="7"/>
      <c r="E5202" s="7"/>
      <c r="F5202" s="34">
        <f>F5203+F5211</f>
        <v>31.13842752</v>
      </c>
    </row>
    <row r="5203" ht="16.9" customHeight="1" spans="1:6">
      <c r="A5203" s="7" t="s">
        <v>539</v>
      </c>
      <c r="B5203" s="7" t="s">
        <v>838</v>
      </c>
      <c r="C5203" s="7"/>
      <c r="D5203" s="7"/>
      <c r="E5203" s="7"/>
      <c r="F5203" s="34">
        <f>F5204+F5207+F5210</f>
        <v>29.71224</v>
      </c>
    </row>
    <row r="5204" ht="16.9" customHeight="1" spans="1:6">
      <c r="A5204" s="7">
        <v>1</v>
      </c>
      <c r="B5204" s="7" t="s">
        <v>839</v>
      </c>
      <c r="C5204" s="7" t="s">
        <v>840</v>
      </c>
      <c r="D5204" s="69"/>
      <c r="E5204" s="42">
        <f>SUM(E5205:E5206)</f>
        <v>3.84</v>
      </c>
      <c r="F5204" s="69">
        <f>SUM(F5205:F5206)</f>
        <v>28.41984</v>
      </c>
    </row>
    <row r="5205" ht="16.9" customHeight="1" spans="1:6">
      <c r="A5205" s="7"/>
      <c r="B5205" s="7" t="s">
        <v>841</v>
      </c>
      <c r="C5205" s="7" t="s">
        <v>840</v>
      </c>
      <c r="D5205" s="69">
        <f>D5185</f>
        <v>8.1</v>
      </c>
      <c r="E5205" s="42">
        <f>0.336*8</f>
        <v>2.688</v>
      </c>
      <c r="F5205" s="69">
        <f t="shared" ref="F5205:F5209" si="270">D5205*E5205</f>
        <v>21.7728</v>
      </c>
    </row>
    <row r="5206" ht="16.9" customHeight="1" spans="1:6">
      <c r="A5206" s="7"/>
      <c r="B5206" s="7" t="s">
        <v>842</v>
      </c>
      <c r="C5206" s="7" t="s">
        <v>840</v>
      </c>
      <c r="D5206" s="69">
        <f>D5186</f>
        <v>5.77</v>
      </c>
      <c r="E5206" s="42">
        <f>0.144*8</f>
        <v>1.152</v>
      </c>
      <c r="F5206" s="69">
        <f t="shared" si="270"/>
        <v>6.64704</v>
      </c>
    </row>
    <row r="5207" ht="16.9" customHeight="1" spans="1:6">
      <c r="A5207" s="7">
        <v>2</v>
      </c>
      <c r="B5207" s="7" t="s">
        <v>1254</v>
      </c>
      <c r="C5207" s="9"/>
      <c r="D5207" s="38"/>
      <c r="E5207" s="38"/>
      <c r="F5207" s="38">
        <f>SUM(F5208:F5209)</f>
        <v>1.2924</v>
      </c>
    </row>
    <row r="5208" ht="16.9" customHeight="1" spans="1:6">
      <c r="A5208" s="7"/>
      <c r="B5208" s="336" t="s">
        <v>1381</v>
      </c>
      <c r="C5208" s="35" t="s">
        <v>790</v>
      </c>
      <c r="D5208" s="38"/>
      <c r="E5208" s="38">
        <v>10.1</v>
      </c>
      <c r="F5208" s="38">
        <f t="shared" si="270"/>
        <v>0</v>
      </c>
    </row>
    <row r="5209" ht="16.9" customHeight="1" spans="1:6">
      <c r="A5209" s="7"/>
      <c r="B5209" s="336" t="s">
        <v>913</v>
      </c>
      <c r="C5209" s="39" t="s">
        <v>1320</v>
      </c>
      <c r="D5209" s="38">
        <f>D5189</f>
        <v>3.59</v>
      </c>
      <c r="E5209" s="38">
        <v>0.36</v>
      </c>
      <c r="F5209" s="38">
        <f t="shared" si="270"/>
        <v>1.2924</v>
      </c>
    </row>
    <row r="5210" ht="16.9" customHeight="1" spans="1:6">
      <c r="A5210" s="7">
        <v>3</v>
      </c>
      <c r="B5210" s="7" t="s">
        <v>843</v>
      </c>
      <c r="C5210" s="9"/>
      <c r="D5210" s="38"/>
      <c r="E5210" s="38"/>
      <c r="F5210" s="38"/>
    </row>
    <row r="5211" ht="16.9" customHeight="1" spans="1:6">
      <c r="A5211" s="7" t="s">
        <v>564</v>
      </c>
      <c r="B5211" s="7" t="s">
        <v>846</v>
      </c>
      <c r="C5211" s="230">
        <f>C5191</f>
        <v>0.048</v>
      </c>
      <c r="D5211" s="38"/>
      <c r="E5211" s="38">
        <f>F5203</f>
        <v>29.71224</v>
      </c>
      <c r="F5211" s="38">
        <f t="shared" ref="F5211:F5214" si="271">E5211*C5211</f>
        <v>1.42618752</v>
      </c>
    </row>
    <row r="5212" ht="16.9" customHeight="1" spans="1:6">
      <c r="A5212" s="7" t="s">
        <v>439</v>
      </c>
      <c r="B5212" s="7" t="s">
        <v>847</v>
      </c>
      <c r="C5212" s="230">
        <f>C5192</f>
        <v>0.0725</v>
      </c>
      <c r="D5212" s="38"/>
      <c r="E5212" s="38">
        <f>F5202</f>
        <v>31.13842752</v>
      </c>
      <c r="F5212" s="38">
        <f t="shared" si="271"/>
        <v>2.2575359952</v>
      </c>
    </row>
    <row r="5213" ht="16.9" customHeight="1" spans="1:6">
      <c r="A5213" s="7" t="s">
        <v>83</v>
      </c>
      <c r="B5213" s="7" t="s">
        <v>848</v>
      </c>
      <c r="C5213" s="230">
        <f>C5193</f>
        <v>0.05</v>
      </c>
      <c r="D5213" s="38"/>
      <c r="E5213" s="38">
        <f>F5212+F5202</f>
        <v>33.3959635152</v>
      </c>
      <c r="F5213" s="38">
        <f t="shared" si="271"/>
        <v>1.66979817576</v>
      </c>
    </row>
    <row r="5214" ht="16.9" customHeight="1" spans="1:6">
      <c r="A5214" s="7" t="s">
        <v>135</v>
      </c>
      <c r="B5214" s="7" t="s">
        <v>849</v>
      </c>
      <c r="C5214" s="231">
        <f>C5194</f>
        <v>0.09</v>
      </c>
      <c r="D5214" s="38"/>
      <c r="E5214" s="34">
        <f>F5213+F5212+F5202</f>
        <v>35.06576169096</v>
      </c>
      <c r="F5214" s="38">
        <f t="shared" si="271"/>
        <v>3.1559185521864</v>
      </c>
    </row>
    <row r="5215" ht="16.9" customHeight="1" spans="1:6">
      <c r="A5215" s="7"/>
      <c r="B5215" s="7" t="s">
        <v>850</v>
      </c>
      <c r="C5215" s="231"/>
      <c r="D5215" s="38"/>
      <c r="E5215" s="34"/>
      <c r="F5215" s="38">
        <f>(E5214+F5214)*取费表!H12</f>
        <v>1.14665040729439</v>
      </c>
    </row>
    <row r="5216" ht="16.9" customHeight="1" spans="1:6">
      <c r="A5216" s="7"/>
      <c r="B5216" s="7" t="s">
        <v>156</v>
      </c>
      <c r="C5216" s="7"/>
      <c r="D5216" s="38"/>
      <c r="E5216" s="38"/>
      <c r="F5216" s="38">
        <f>F5214+E5214+F5215</f>
        <v>39.3683306504408</v>
      </c>
    </row>
    <row r="5217" ht="16.15" customHeight="1" spans="1:12">
      <c r="A5217" s="224" t="s">
        <v>828</v>
      </c>
      <c r="B5217" s="225"/>
      <c r="C5217" s="225"/>
      <c r="D5217" s="225"/>
      <c r="E5217" s="225"/>
      <c r="F5217" s="225"/>
      <c r="G5217" s="224" t="s">
        <v>828</v>
      </c>
      <c r="H5217" s="225"/>
      <c r="I5217" s="225"/>
      <c r="J5217" s="225"/>
      <c r="K5217" s="225"/>
      <c r="L5217" s="225"/>
    </row>
    <row r="5218" ht="16.15" customHeight="1" spans="1:12">
      <c r="A5218" s="296" t="s">
        <v>1382</v>
      </c>
      <c r="B5218" s="296"/>
      <c r="C5218" s="296"/>
      <c r="D5218" s="296"/>
      <c r="E5218" s="296"/>
      <c r="F5218" s="296"/>
      <c r="G5218" s="296" t="s">
        <v>1382</v>
      </c>
      <c r="H5218" s="296"/>
      <c r="I5218" s="296"/>
      <c r="J5218" s="296"/>
      <c r="K5218" s="296"/>
      <c r="L5218" s="296"/>
    </row>
    <row r="5219" ht="16.15" customHeight="1" spans="1:12">
      <c r="A5219" s="227" t="s">
        <v>1383</v>
      </c>
      <c r="B5219" s="228"/>
      <c r="C5219" s="229"/>
      <c r="D5219" s="229"/>
      <c r="E5219" s="228" t="s">
        <v>1373</v>
      </c>
      <c r="F5219" s="228"/>
      <c r="G5219" s="227" t="s">
        <v>1384</v>
      </c>
      <c r="H5219" s="228"/>
      <c r="I5219" s="229"/>
      <c r="J5219" s="229"/>
      <c r="K5219" s="228" t="s">
        <v>1373</v>
      </c>
      <c r="L5219" s="228"/>
    </row>
    <row r="5220" ht="16.15" customHeight="1" spans="1:12">
      <c r="A5220" s="232" t="s">
        <v>911</v>
      </c>
      <c r="B5220" s="233" t="s">
        <v>1385</v>
      </c>
      <c r="C5220" s="233"/>
      <c r="D5220" s="233"/>
      <c r="E5220" s="233"/>
      <c r="F5220" s="147"/>
      <c r="G5220" s="232" t="s">
        <v>911</v>
      </c>
      <c r="H5220" s="233" t="s">
        <v>1385</v>
      </c>
      <c r="I5220" s="233"/>
      <c r="J5220" s="233"/>
      <c r="K5220" s="233"/>
      <c r="L5220" s="147"/>
    </row>
    <row r="5221" ht="16.15" customHeight="1" spans="1:12">
      <c r="A5221" s="7" t="s">
        <v>104</v>
      </c>
      <c r="B5221" s="7" t="s">
        <v>835</v>
      </c>
      <c r="C5221" s="7" t="s">
        <v>159</v>
      </c>
      <c r="D5221" s="7" t="s">
        <v>422</v>
      </c>
      <c r="E5221" s="7" t="s">
        <v>160</v>
      </c>
      <c r="F5221" s="7" t="s">
        <v>18</v>
      </c>
      <c r="G5221" s="7" t="s">
        <v>104</v>
      </c>
      <c r="H5221" s="7" t="s">
        <v>835</v>
      </c>
      <c r="I5221" s="7" t="s">
        <v>159</v>
      </c>
      <c r="J5221" s="7" t="s">
        <v>422</v>
      </c>
      <c r="K5221" s="7" t="s">
        <v>160</v>
      </c>
      <c r="L5221" s="7" t="s">
        <v>18</v>
      </c>
    </row>
    <row r="5222" ht="16.15" customHeight="1" spans="1:12">
      <c r="A5222" s="7" t="s">
        <v>836</v>
      </c>
      <c r="B5222" s="7" t="s">
        <v>837</v>
      </c>
      <c r="C5222" s="7"/>
      <c r="D5222" s="7"/>
      <c r="E5222" s="7"/>
      <c r="F5222" s="34">
        <f>F5223+F5231</f>
        <v>8.64994048</v>
      </c>
      <c r="G5222" s="7" t="s">
        <v>836</v>
      </c>
      <c r="H5222" s="7" t="s">
        <v>837</v>
      </c>
      <c r="I5222" s="7"/>
      <c r="J5222" s="7"/>
      <c r="K5222" s="7"/>
      <c r="L5222" s="34">
        <f>L5223+L5231</f>
        <v>3.53152944</v>
      </c>
    </row>
    <row r="5223" ht="16.15" customHeight="1" spans="1:12">
      <c r="A5223" s="7" t="s">
        <v>539</v>
      </c>
      <c r="B5223" s="7" t="s">
        <v>838</v>
      </c>
      <c r="C5223" s="7"/>
      <c r="D5223" s="7"/>
      <c r="E5223" s="7"/>
      <c r="F5223" s="34">
        <f>F5224+F5227+F5230</f>
        <v>8.25376</v>
      </c>
      <c r="G5223" s="7" t="s">
        <v>539</v>
      </c>
      <c r="H5223" s="7" t="s">
        <v>838</v>
      </c>
      <c r="I5223" s="7"/>
      <c r="J5223" s="7"/>
      <c r="K5223" s="7"/>
      <c r="L5223" s="34">
        <f>L5224+L5227+L5230</f>
        <v>3.36978</v>
      </c>
    </row>
    <row r="5224" ht="16.15" customHeight="1" spans="1:12">
      <c r="A5224" s="7">
        <v>1</v>
      </c>
      <c r="B5224" s="7" t="s">
        <v>839</v>
      </c>
      <c r="C5224" s="7" t="s">
        <v>840</v>
      </c>
      <c r="D5224" s="69"/>
      <c r="E5224" s="42">
        <f>SUM(E5225:E5226)</f>
        <v>0.96</v>
      </c>
      <c r="F5224" s="69">
        <f>SUM(F5225:F5226)</f>
        <v>7.10496</v>
      </c>
      <c r="G5224" s="7">
        <v>1</v>
      </c>
      <c r="H5224" s="7" t="s">
        <v>839</v>
      </c>
      <c r="I5224" s="7" t="s">
        <v>840</v>
      </c>
      <c r="J5224" s="69"/>
      <c r="K5224" s="42">
        <f>SUM(K5225:K5226)</f>
        <v>0.344</v>
      </c>
      <c r="L5224" s="69">
        <f>SUM(L5225:L5226)</f>
        <v>2.54408</v>
      </c>
    </row>
    <row r="5225" ht="16.15" customHeight="1" spans="1:12">
      <c r="A5225" s="7"/>
      <c r="B5225" s="7" t="s">
        <v>841</v>
      </c>
      <c r="C5225" s="7" t="s">
        <v>840</v>
      </c>
      <c r="D5225" s="69">
        <f t="shared" ref="D5225:D5229" si="272">D5205</f>
        <v>8.1</v>
      </c>
      <c r="E5225" s="42">
        <f>0.084*8</f>
        <v>0.672</v>
      </c>
      <c r="F5225" s="69">
        <f t="shared" ref="F5225:F5229" si="273">D5225*E5225</f>
        <v>5.4432</v>
      </c>
      <c r="G5225" s="7"/>
      <c r="H5225" s="7" t="s">
        <v>841</v>
      </c>
      <c r="I5225" s="7" t="s">
        <v>840</v>
      </c>
      <c r="J5225" s="69">
        <f t="shared" ref="J5225:J5229" si="274">D5225</f>
        <v>8.1</v>
      </c>
      <c r="K5225" s="42">
        <f>0.03*8</f>
        <v>0.24</v>
      </c>
      <c r="L5225" s="69">
        <f t="shared" ref="L5225:L5229" si="275">J5225*K5225</f>
        <v>1.944</v>
      </c>
    </row>
    <row r="5226" ht="16.15" customHeight="1" spans="1:12">
      <c r="A5226" s="7"/>
      <c r="B5226" s="7" t="s">
        <v>842</v>
      </c>
      <c r="C5226" s="7" t="s">
        <v>840</v>
      </c>
      <c r="D5226" s="69">
        <f t="shared" si="272"/>
        <v>5.77</v>
      </c>
      <c r="E5226" s="42">
        <f>0.036*8</f>
        <v>0.288</v>
      </c>
      <c r="F5226" s="69">
        <f t="shared" si="273"/>
        <v>1.66176</v>
      </c>
      <c r="G5226" s="7"/>
      <c r="H5226" s="7" t="s">
        <v>842</v>
      </c>
      <c r="I5226" s="7" t="s">
        <v>840</v>
      </c>
      <c r="J5226" s="69">
        <f t="shared" si="274"/>
        <v>5.77</v>
      </c>
      <c r="K5226" s="42">
        <f>0.013*8</f>
        <v>0.104</v>
      </c>
      <c r="L5226" s="69">
        <f t="shared" si="275"/>
        <v>0.60008</v>
      </c>
    </row>
    <row r="5227" ht="16.15" customHeight="1" spans="1:12">
      <c r="A5227" s="7">
        <v>2</v>
      </c>
      <c r="B5227" s="7" t="s">
        <v>1254</v>
      </c>
      <c r="C5227" s="9"/>
      <c r="D5227" s="38"/>
      <c r="E5227" s="38"/>
      <c r="F5227" s="38">
        <f>SUM(F5228:F5229)</f>
        <v>1.1488</v>
      </c>
      <c r="G5227" s="7">
        <v>2</v>
      </c>
      <c r="H5227" s="7" t="s">
        <v>1254</v>
      </c>
      <c r="I5227" s="9"/>
      <c r="J5227" s="38"/>
      <c r="K5227" s="38"/>
      <c r="L5227" s="38">
        <f>SUM(L5228:L5229)</f>
        <v>0.8257</v>
      </c>
    </row>
    <row r="5228" ht="16.15" customHeight="1" spans="1:12">
      <c r="A5228" s="7"/>
      <c r="B5228" s="336" t="s">
        <v>1381</v>
      </c>
      <c r="C5228" s="35" t="s">
        <v>790</v>
      </c>
      <c r="D5228" s="38"/>
      <c r="E5228" s="38">
        <v>10.1</v>
      </c>
      <c r="F5228" s="38">
        <f t="shared" si="273"/>
        <v>0</v>
      </c>
      <c r="G5228" s="7"/>
      <c r="H5228" s="336" t="s">
        <v>1381</v>
      </c>
      <c r="I5228" s="35" t="s">
        <v>790</v>
      </c>
      <c r="J5228" s="38"/>
      <c r="K5228" s="38">
        <v>10.1</v>
      </c>
      <c r="L5228" s="38">
        <f t="shared" si="275"/>
        <v>0</v>
      </c>
    </row>
    <row r="5229" ht="16.15" customHeight="1" spans="1:12">
      <c r="A5229" s="7"/>
      <c r="B5229" s="336" t="s">
        <v>913</v>
      </c>
      <c r="C5229" s="39" t="s">
        <v>1320</v>
      </c>
      <c r="D5229" s="38">
        <f t="shared" si="272"/>
        <v>3.59</v>
      </c>
      <c r="E5229" s="38">
        <v>0.32</v>
      </c>
      <c r="F5229" s="38">
        <f t="shared" si="273"/>
        <v>1.1488</v>
      </c>
      <c r="G5229" s="7"/>
      <c r="H5229" s="336" t="s">
        <v>913</v>
      </c>
      <c r="I5229" s="39" t="s">
        <v>1320</v>
      </c>
      <c r="J5229" s="38">
        <f t="shared" si="274"/>
        <v>3.59</v>
      </c>
      <c r="K5229" s="38">
        <v>0.23</v>
      </c>
      <c r="L5229" s="38">
        <f t="shared" si="275"/>
        <v>0.8257</v>
      </c>
    </row>
    <row r="5230" ht="16.15" customHeight="1" spans="1:12">
      <c r="A5230" s="7">
        <v>3</v>
      </c>
      <c r="B5230" s="7" t="s">
        <v>843</v>
      </c>
      <c r="C5230" s="9"/>
      <c r="D5230" s="38"/>
      <c r="E5230" s="38"/>
      <c r="F5230" s="38"/>
      <c r="G5230" s="7">
        <v>3</v>
      </c>
      <c r="H5230" s="7" t="s">
        <v>843</v>
      </c>
      <c r="I5230" s="9"/>
      <c r="J5230" s="38"/>
      <c r="K5230" s="38"/>
      <c r="L5230" s="38"/>
    </row>
    <row r="5231" ht="16.15" customHeight="1" spans="1:12">
      <c r="A5231" s="7" t="s">
        <v>564</v>
      </c>
      <c r="B5231" s="7" t="s">
        <v>846</v>
      </c>
      <c r="C5231" s="230">
        <f t="shared" ref="C5231:C5234" si="276">C5211</f>
        <v>0.048</v>
      </c>
      <c r="D5231" s="38"/>
      <c r="E5231" s="38">
        <f>F5223</f>
        <v>8.25376</v>
      </c>
      <c r="F5231" s="38">
        <f t="shared" ref="F5231:F5234" si="277">E5231*C5231</f>
        <v>0.39618048</v>
      </c>
      <c r="G5231" s="7" t="s">
        <v>564</v>
      </c>
      <c r="H5231" s="7" t="s">
        <v>846</v>
      </c>
      <c r="I5231" s="230">
        <f t="shared" ref="I5231:I5234" si="278">C5231</f>
        <v>0.048</v>
      </c>
      <c r="J5231" s="38"/>
      <c r="K5231" s="38">
        <f>L5223</f>
        <v>3.36978</v>
      </c>
      <c r="L5231" s="38">
        <f t="shared" ref="L5231:L5234" si="279">K5231*I5231</f>
        <v>0.16174944</v>
      </c>
    </row>
    <row r="5232" ht="16.15" customHeight="1" spans="1:12">
      <c r="A5232" s="7" t="s">
        <v>439</v>
      </c>
      <c r="B5232" s="7" t="s">
        <v>847</v>
      </c>
      <c r="C5232" s="230">
        <f t="shared" si="276"/>
        <v>0.0725</v>
      </c>
      <c r="D5232" s="38"/>
      <c r="E5232" s="38">
        <f>F5222</f>
        <v>8.64994048</v>
      </c>
      <c r="F5232" s="38">
        <f t="shared" si="277"/>
        <v>0.6271206848</v>
      </c>
      <c r="G5232" s="7" t="s">
        <v>439</v>
      </c>
      <c r="H5232" s="7" t="s">
        <v>847</v>
      </c>
      <c r="I5232" s="230">
        <f t="shared" si="278"/>
        <v>0.0725</v>
      </c>
      <c r="J5232" s="38"/>
      <c r="K5232" s="38">
        <f>L5222</f>
        <v>3.53152944</v>
      </c>
      <c r="L5232" s="38">
        <f t="shared" si="279"/>
        <v>0.2560358844</v>
      </c>
    </row>
    <row r="5233" ht="16.15" customHeight="1" spans="1:12">
      <c r="A5233" s="7" t="s">
        <v>83</v>
      </c>
      <c r="B5233" s="7" t="s">
        <v>848</v>
      </c>
      <c r="C5233" s="230">
        <f t="shared" si="276"/>
        <v>0.05</v>
      </c>
      <c r="D5233" s="38"/>
      <c r="E5233" s="38">
        <f>F5232+F5222</f>
        <v>9.2770611648</v>
      </c>
      <c r="F5233" s="38">
        <f t="shared" si="277"/>
        <v>0.46385305824</v>
      </c>
      <c r="G5233" s="7" t="s">
        <v>83</v>
      </c>
      <c r="H5233" s="7" t="s">
        <v>848</v>
      </c>
      <c r="I5233" s="230">
        <f t="shared" si="278"/>
        <v>0.05</v>
      </c>
      <c r="J5233" s="38"/>
      <c r="K5233" s="38">
        <f>L5232+L5222</f>
        <v>3.7875653244</v>
      </c>
      <c r="L5233" s="38">
        <f t="shared" si="279"/>
        <v>0.18937826622</v>
      </c>
    </row>
    <row r="5234" ht="16.15" customHeight="1" spans="1:12">
      <c r="A5234" s="7" t="s">
        <v>135</v>
      </c>
      <c r="B5234" s="7" t="s">
        <v>849</v>
      </c>
      <c r="C5234" s="231">
        <f t="shared" si="276"/>
        <v>0.09</v>
      </c>
      <c r="D5234" s="38"/>
      <c r="E5234" s="34">
        <f>F5233+F5232+F5222</f>
        <v>9.74091422304</v>
      </c>
      <c r="F5234" s="38">
        <f t="shared" si="277"/>
        <v>0.8766822800736</v>
      </c>
      <c r="G5234" s="7" t="s">
        <v>135</v>
      </c>
      <c r="H5234" s="7" t="s">
        <v>849</v>
      </c>
      <c r="I5234" s="230">
        <f t="shared" si="278"/>
        <v>0.09</v>
      </c>
      <c r="J5234" s="38"/>
      <c r="K5234" s="34">
        <f>L5233+L5232+L5222</f>
        <v>3.97694359062</v>
      </c>
      <c r="L5234" s="38">
        <f t="shared" si="279"/>
        <v>0.3579249231558</v>
      </c>
    </row>
    <row r="5235" ht="16.15" customHeight="1" spans="1:12">
      <c r="A5235" s="7"/>
      <c r="B5235" s="7" t="s">
        <v>850</v>
      </c>
      <c r="C5235" s="231"/>
      <c r="D5235" s="38"/>
      <c r="E5235" s="34"/>
      <c r="F5235" s="38">
        <f>(E5234+F5234)*取费表!H12</f>
        <v>0.318527895093408</v>
      </c>
      <c r="G5235" s="7"/>
      <c r="H5235" s="7" t="s">
        <v>850</v>
      </c>
      <c r="I5235" s="231"/>
      <c r="J5235" s="38"/>
      <c r="K5235" s="34"/>
      <c r="L5235" s="38">
        <f>(K5234+L5234)*取费表!H12</f>
        <v>0.130046055413274</v>
      </c>
    </row>
    <row r="5236" ht="16.15" customHeight="1" spans="1:12">
      <c r="A5236" s="7"/>
      <c r="B5236" s="7" t="s">
        <v>156</v>
      </c>
      <c r="C5236" s="7"/>
      <c r="D5236" s="38"/>
      <c r="E5236" s="38"/>
      <c r="F5236" s="38">
        <f>F5234+E5234+F5235</f>
        <v>10.936124398207</v>
      </c>
      <c r="G5236" s="7"/>
      <c r="H5236" s="7" t="s">
        <v>156</v>
      </c>
      <c r="I5236" s="7"/>
      <c r="J5236" s="38"/>
      <c r="K5236" s="38"/>
      <c r="L5236" s="38">
        <f>L5234+K5234+L5235</f>
        <v>4.46491456918907</v>
      </c>
    </row>
    <row r="5237" ht="16.15" customHeight="1" spans="1:6">
      <c r="A5237" s="224" t="s">
        <v>828</v>
      </c>
      <c r="B5237" s="225"/>
      <c r="C5237" s="225"/>
      <c r="D5237" s="225"/>
      <c r="E5237" s="225"/>
      <c r="F5237" s="225"/>
    </row>
    <row r="5238" ht="16.15" customHeight="1" spans="1:6">
      <c r="A5238" s="296" t="s">
        <v>1386</v>
      </c>
      <c r="B5238" s="296"/>
      <c r="C5238" s="296"/>
      <c r="D5238" s="296"/>
      <c r="E5238" s="296"/>
      <c r="F5238" s="296"/>
    </row>
    <row r="5239" ht="16.15" customHeight="1" spans="1:6">
      <c r="A5239" s="227" t="s">
        <v>1387</v>
      </c>
      <c r="B5239" s="228"/>
      <c r="C5239" s="229"/>
      <c r="D5239" s="229"/>
      <c r="E5239" s="228" t="s">
        <v>857</v>
      </c>
      <c r="F5239" s="228"/>
    </row>
    <row r="5240" ht="16.15" customHeight="1" spans="1:6">
      <c r="A5240" s="232" t="s">
        <v>911</v>
      </c>
      <c r="B5240" s="233"/>
      <c r="C5240" s="233"/>
      <c r="D5240" s="233"/>
      <c r="E5240" s="233"/>
      <c r="F5240" s="147"/>
    </row>
    <row r="5241" ht="16.15" customHeight="1" spans="1:6">
      <c r="A5241" s="7" t="s">
        <v>104</v>
      </c>
      <c r="B5241" s="7" t="s">
        <v>835</v>
      </c>
      <c r="C5241" s="7" t="s">
        <v>159</v>
      </c>
      <c r="D5241" s="7" t="s">
        <v>422</v>
      </c>
      <c r="E5241" s="7" t="s">
        <v>160</v>
      </c>
      <c r="F5241" s="7" t="s">
        <v>18</v>
      </c>
    </row>
    <row r="5242" ht="16.15" customHeight="1" spans="1:6">
      <c r="A5242" s="7" t="s">
        <v>836</v>
      </c>
      <c r="B5242" s="7" t="s">
        <v>837</v>
      </c>
      <c r="C5242" s="7"/>
      <c r="D5242" s="7"/>
      <c r="E5242" s="7"/>
      <c r="F5242" s="34">
        <f>F5243+F5251</f>
        <v>560.57587072</v>
      </c>
    </row>
    <row r="5243" ht="16.15" customHeight="1" spans="1:6">
      <c r="A5243" s="7" t="s">
        <v>539</v>
      </c>
      <c r="B5243" s="7" t="s">
        <v>838</v>
      </c>
      <c r="C5243" s="7"/>
      <c r="D5243" s="7"/>
      <c r="E5243" s="7"/>
      <c r="F5243" s="34">
        <f>F5244+F5247+F5250</f>
        <v>534.90064</v>
      </c>
    </row>
    <row r="5244" ht="16.15" customHeight="1" spans="1:6">
      <c r="A5244" s="7">
        <v>1</v>
      </c>
      <c r="B5244" s="7" t="s">
        <v>839</v>
      </c>
      <c r="C5244" s="7" t="s">
        <v>840</v>
      </c>
      <c r="D5244" s="69"/>
      <c r="E5244" s="42">
        <f>SUM(E5245:E5246)</f>
        <v>69.848</v>
      </c>
      <c r="F5244" s="69">
        <f>SUM(F5245:F5246)</f>
        <v>516.95064</v>
      </c>
    </row>
    <row r="5245" ht="16.15" customHeight="1" spans="1:6">
      <c r="A5245" s="7"/>
      <c r="B5245" s="7" t="s">
        <v>841</v>
      </c>
      <c r="C5245" s="7" t="s">
        <v>840</v>
      </c>
      <c r="D5245" s="69">
        <f t="shared" ref="D5245:D5249" si="280">D5225</f>
        <v>8.1</v>
      </c>
      <c r="E5245" s="42">
        <f>6.112*8</f>
        <v>48.896</v>
      </c>
      <c r="F5245" s="69">
        <f t="shared" ref="F5245:F5249" si="281">D5245*E5245</f>
        <v>396.0576</v>
      </c>
    </row>
    <row r="5246" ht="16.15" customHeight="1" spans="1:6">
      <c r="A5246" s="7"/>
      <c r="B5246" s="7" t="s">
        <v>842</v>
      </c>
      <c r="C5246" s="7" t="s">
        <v>840</v>
      </c>
      <c r="D5246" s="69">
        <f t="shared" si="280"/>
        <v>5.77</v>
      </c>
      <c r="E5246" s="42">
        <f>2.619*8</f>
        <v>20.952</v>
      </c>
      <c r="F5246" s="69">
        <f t="shared" si="281"/>
        <v>120.89304</v>
      </c>
    </row>
    <row r="5247" ht="16.15" customHeight="1" spans="1:8">
      <c r="A5247" s="7">
        <v>2</v>
      </c>
      <c r="B5247" s="7" t="s">
        <v>1254</v>
      </c>
      <c r="C5247" s="9"/>
      <c r="D5247" s="38"/>
      <c r="E5247" s="38"/>
      <c r="F5247" s="38">
        <f>SUM(F5248:F5249)</f>
        <v>17.95</v>
      </c>
      <c r="H5247" s="223">
        <f>3000000*30</f>
        <v>90000000</v>
      </c>
    </row>
    <row r="5248" ht="16.15" customHeight="1" spans="1:6">
      <c r="A5248" s="7"/>
      <c r="B5248" s="336" t="s">
        <v>1388</v>
      </c>
      <c r="C5248" s="35" t="s">
        <v>790</v>
      </c>
      <c r="D5248" s="38"/>
      <c r="E5248" s="38">
        <v>2750</v>
      </c>
      <c r="F5248" s="38">
        <f t="shared" si="281"/>
        <v>0</v>
      </c>
    </row>
    <row r="5249" ht="16.15" customHeight="1" spans="1:6">
      <c r="A5249" s="7"/>
      <c r="B5249" s="336" t="s">
        <v>913</v>
      </c>
      <c r="C5249" s="39" t="s">
        <v>1320</v>
      </c>
      <c r="D5249" s="38">
        <f t="shared" si="280"/>
        <v>3.59</v>
      </c>
      <c r="E5249" s="38">
        <v>5</v>
      </c>
      <c r="F5249" s="38">
        <f t="shared" si="281"/>
        <v>17.95</v>
      </c>
    </row>
    <row r="5250" ht="16.15" customHeight="1" spans="1:6">
      <c r="A5250" s="7">
        <v>3</v>
      </c>
      <c r="B5250" s="7" t="s">
        <v>843</v>
      </c>
      <c r="C5250" s="9"/>
      <c r="D5250" s="38"/>
      <c r="E5250" s="38"/>
      <c r="F5250" s="38"/>
    </row>
    <row r="5251" ht="16.15" customHeight="1" spans="1:6">
      <c r="A5251" s="7" t="s">
        <v>564</v>
      </c>
      <c r="B5251" s="7" t="s">
        <v>846</v>
      </c>
      <c r="C5251" s="230">
        <f t="shared" ref="C5251:C5254" si="282">C5231</f>
        <v>0.048</v>
      </c>
      <c r="D5251" s="38"/>
      <c r="E5251" s="38">
        <f>F5243</f>
        <v>534.90064</v>
      </c>
      <c r="F5251" s="38">
        <f t="shared" ref="F5251:F5254" si="283">E5251*C5251</f>
        <v>25.67523072</v>
      </c>
    </row>
    <row r="5252" ht="16.15" customHeight="1" spans="1:6">
      <c r="A5252" s="7" t="s">
        <v>439</v>
      </c>
      <c r="B5252" s="7" t="s">
        <v>847</v>
      </c>
      <c r="C5252" s="230">
        <f t="shared" si="282"/>
        <v>0.0725</v>
      </c>
      <c r="D5252" s="38"/>
      <c r="E5252" s="38">
        <f>F5242</f>
        <v>560.57587072</v>
      </c>
      <c r="F5252" s="38">
        <f t="shared" si="283"/>
        <v>40.6417506272</v>
      </c>
    </row>
    <row r="5253" ht="16.15" customHeight="1" spans="1:6">
      <c r="A5253" s="7" t="s">
        <v>83</v>
      </c>
      <c r="B5253" s="7" t="s">
        <v>848</v>
      </c>
      <c r="C5253" s="230">
        <f t="shared" si="282"/>
        <v>0.05</v>
      </c>
      <c r="D5253" s="38"/>
      <c r="E5253" s="38">
        <f>F5252+F5242</f>
        <v>601.2176213472</v>
      </c>
      <c r="F5253" s="38">
        <f t="shared" si="283"/>
        <v>30.06088106736</v>
      </c>
    </row>
    <row r="5254" ht="16.15" customHeight="1" spans="1:6">
      <c r="A5254" s="7" t="s">
        <v>135</v>
      </c>
      <c r="B5254" s="7" t="s">
        <v>849</v>
      </c>
      <c r="C5254" s="231">
        <f t="shared" si="282"/>
        <v>0.09</v>
      </c>
      <c r="D5254" s="38"/>
      <c r="E5254" s="34">
        <f>F5253+F5252+F5242</f>
        <v>631.27850241456</v>
      </c>
      <c r="F5254" s="38">
        <f t="shared" si="283"/>
        <v>56.8150652173104</v>
      </c>
    </row>
    <row r="5255" ht="16.15" customHeight="1" spans="1:6">
      <c r="A5255" s="7"/>
      <c r="B5255" s="7" t="s">
        <v>850</v>
      </c>
      <c r="C5255" s="231"/>
      <c r="D5255" s="38"/>
      <c r="E5255" s="34"/>
      <c r="F5255" s="38">
        <f>(E5254+F5254)*取费表!H12</f>
        <v>20.6428070289561</v>
      </c>
    </row>
    <row r="5256" ht="16.15" customHeight="1" spans="1:6">
      <c r="A5256" s="7"/>
      <c r="B5256" s="7" t="s">
        <v>156</v>
      </c>
      <c r="C5256" s="7"/>
      <c r="D5256" s="38"/>
      <c r="E5256" s="38"/>
      <c r="F5256" s="38">
        <f>F5254+E5254+F5255</f>
        <v>708.736374660826</v>
      </c>
    </row>
    <row r="5257" ht="16.15" customHeight="1" spans="1:6">
      <c r="A5257" s="229"/>
      <c r="B5257" s="229"/>
      <c r="C5257" s="229"/>
      <c r="D5257" s="349"/>
      <c r="E5257" s="349"/>
      <c r="F5257" s="349"/>
    </row>
    <row r="5258" ht="16.15" customHeight="1" spans="1:6">
      <c r="A5258" s="229"/>
      <c r="B5258" s="229"/>
      <c r="C5258" s="229"/>
      <c r="D5258" s="349"/>
      <c r="E5258" s="349"/>
      <c r="F5258" s="349"/>
    </row>
    <row r="5259" ht="16.15" customHeight="1" spans="1:12">
      <c r="A5259" s="229"/>
      <c r="B5259" s="229"/>
      <c r="C5259" s="229"/>
      <c r="D5259" s="349"/>
      <c r="E5259" s="349"/>
      <c r="F5259" s="349"/>
      <c r="G5259" s="229"/>
      <c r="H5259" s="229"/>
      <c r="I5259" s="229"/>
      <c r="J5259" s="349"/>
      <c r="K5259" s="349"/>
      <c r="L5259" s="349"/>
    </row>
    <row r="5260" ht="16.15" customHeight="1" spans="1:18">
      <c r="A5260" s="224" t="s">
        <v>828</v>
      </c>
      <c r="B5260" s="225"/>
      <c r="C5260" s="225"/>
      <c r="D5260" s="225"/>
      <c r="E5260" s="225"/>
      <c r="F5260" s="225"/>
      <c r="G5260" s="224" t="s">
        <v>828</v>
      </c>
      <c r="H5260" s="225"/>
      <c r="I5260" s="225"/>
      <c r="J5260" s="225"/>
      <c r="K5260" s="225"/>
      <c r="L5260" s="225"/>
      <c r="M5260" s="224" t="s">
        <v>828</v>
      </c>
      <c r="N5260" s="225"/>
      <c r="O5260" s="225"/>
      <c r="P5260" s="225"/>
      <c r="Q5260" s="225"/>
      <c r="R5260" s="225"/>
    </row>
    <row r="5261" ht="16.15" customHeight="1" spans="1:18">
      <c r="A5261" s="296" t="s">
        <v>1389</v>
      </c>
      <c r="B5261" s="296"/>
      <c r="C5261" s="296"/>
      <c r="D5261" s="296"/>
      <c r="E5261" s="296"/>
      <c r="F5261" s="296"/>
      <c r="G5261" s="296" t="s">
        <v>1389</v>
      </c>
      <c r="H5261" s="296"/>
      <c r="I5261" s="296"/>
      <c r="J5261" s="296"/>
      <c r="K5261" s="296"/>
      <c r="L5261" s="296"/>
      <c r="M5261" s="296" t="s">
        <v>1386</v>
      </c>
      <c r="N5261" s="296"/>
      <c r="O5261" s="296"/>
      <c r="P5261" s="296"/>
      <c r="Q5261" s="296"/>
      <c r="R5261" s="296"/>
    </row>
    <row r="5262" ht="16.15" customHeight="1" spans="1:18">
      <c r="A5262" s="227" t="s">
        <v>1390</v>
      </c>
      <c r="B5262" s="228"/>
      <c r="C5262" s="229"/>
      <c r="D5262" s="229"/>
      <c r="E5262" s="228" t="s">
        <v>1391</v>
      </c>
      <c r="F5262" s="228"/>
      <c r="G5262" s="227" t="s">
        <v>1392</v>
      </c>
      <c r="H5262" s="228"/>
      <c r="I5262" s="229"/>
      <c r="J5262" s="229"/>
      <c r="K5262" s="228" t="s">
        <v>1373</v>
      </c>
      <c r="L5262" s="228"/>
      <c r="M5262" s="227" t="s">
        <v>1393</v>
      </c>
      <c r="N5262" s="228"/>
      <c r="O5262" s="229"/>
      <c r="P5262" s="229"/>
      <c r="Q5262" s="228" t="s">
        <v>857</v>
      </c>
      <c r="R5262" s="228"/>
    </row>
    <row r="5263" ht="16.15" customHeight="1" spans="1:18">
      <c r="A5263" s="232" t="s">
        <v>911</v>
      </c>
      <c r="B5263" s="233"/>
      <c r="C5263" s="233"/>
      <c r="D5263" s="233"/>
      <c r="E5263" s="233"/>
      <c r="F5263" s="147"/>
      <c r="G5263" s="232" t="s">
        <v>911</v>
      </c>
      <c r="H5263" s="233"/>
      <c r="I5263" s="233"/>
      <c r="J5263" s="233"/>
      <c r="K5263" s="233"/>
      <c r="L5263" s="147"/>
      <c r="M5263" s="232" t="s">
        <v>911</v>
      </c>
      <c r="N5263" s="233"/>
      <c r="O5263" s="233"/>
      <c r="P5263" s="233"/>
      <c r="Q5263" s="233"/>
      <c r="R5263" s="147"/>
    </row>
    <row r="5264" ht="16.15" customHeight="1" spans="1:18">
      <c r="A5264" s="7" t="s">
        <v>104</v>
      </c>
      <c r="B5264" s="7" t="s">
        <v>835</v>
      </c>
      <c r="C5264" s="7" t="s">
        <v>159</v>
      </c>
      <c r="D5264" s="7" t="s">
        <v>422</v>
      </c>
      <c r="E5264" s="7" t="s">
        <v>160</v>
      </c>
      <c r="F5264" s="7" t="s">
        <v>18</v>
      </c>
      <c r="G5264" s="7" t="s">
        <v>104</v>
      </c>
      <c r="H5264" s="7" t="s">
        <v>835</v>
      </c>
      <c r="I5264" s="7" t="s">
        <v>159</v>
      </c>
      <c r="J5264" s="7" t="s">
        <v>422</v>
      </c>
      <c r="K5264" s="7" t="s">
        <v>160</v>
      </c>
      <c r="L5264" s="7" t="s">
        <v>18</v>
      </c>
      <c r="M5264" s="7" t="s">
        <v>104</v>
      </c>
      <c r="N5264" s="7" t="s">
        <v>835</v>
      </c>
      <c r="O5264" s="7" t="s">
        <v>159</v>
      </c>
      <c r="P5264" s="7" t="s">
        <v>422</v>
      </c>
      <c r="Q5264" s="7" t="s">
        <v>160</v>
      </c>
      <c r="R5264" s="7" t="s">
        <v>18</v>
      </c>
    </row>
    <row r="5265" ht="16.15" customHeight="1" spans="1:18">
      <c r="A5265" s="7" t="s">
        <v>836</v>
      </c>
      <c r="B5265" s="7" t="s">
        <v>837</v>
      </c>
      <c r="C5265" s="7"/>
      <c r="D5265" s="7"/>
      <c r="E5265" s="7"/>
      <c r="F5265" s="34">
        <f>F5266+F5273</f>
        <v>7.07760512</v>
      </c>
      <c r="G5265" s="7" t="s">
        <v>836</v>
      </c>
      <c r="H5265" s="7" t="s">
        <v>837</v>
      </c>
      <c r="I5265" s="7"/>
      <c r="J5265" s="7"/>
      <c r="K5265" s="7"/>
      <c r="L5265" s="34">
        <f>L5266+L5273</f>
        <v>7.37808768</v>
      </c>
      <c r="M5265" s="7" t="s">
        <v>836</v>
      </c>
      <c r="N5265" s="7" t="s">
        <v>837</v>
      </c>
      <c r="O5265" s="7"/>
      <c r="P5265" s="7"/>
      <c r="Q5265" s="7"/>
      <c r="R5265" s="34">
        <f>R5266+R5274</f>
        <v>397.99250432</v>
      </c>
    </row>
    <row r="5266" ht="16.15" customHeight="1" spans="1:18">
      <c r="A5266" s="7" t="s">
        <v>539</v>
      </c>
      <c r="B5266" s="7" t="s">
        <v>838</v>
      </c>
      <c r="C5266" s="7"/>
      <c r="D5266" s="7"/>
      <c r="E5266" s="7"/>
      <c r="F5266" s="34">
        <f>F5267+F5270+F5272</f>
        <v>6.75344</v>
      </c>
      <c r="G5266" s="7" t="s">
        <v>539</v>
      </c>
      <c r="H5266" s="7" t="s">
        <v>838</v>
      </c>
      <c r="I5266" s="7"/>
      <c r="J5266" s="7"/>
      <c r="K5266" s="7"/>
      <c r="L5266" s="34">
        <f>L5267+L5270+L5272</f>
        <v>7.04016</v>
      </c>
      <c r="M5266" s="7" t="s">
        <v>539</v>
      </c>
      <c r="N5266" s="7" t="s">
        <v>838</v>
      </c>
      <c r="O5266" s="7"/>
      <c r="P5266" s="7"/>
      <c r="Q5266" s="7"/>
      <c r="R5266" s="34">
        <f>R5267+R5270+R5273</f>
        <v>379.76384</v>
      </c>
    </row>
    <row r="5267" ht="16.15" customHeight="1" spans="1:18">
      <c r="A5267" s="7">
        <v>1</v>
      </c>
      <c r="B5267" s="7" t="s">
        <v>839</v>
      </c>
      <c r="C5267" s="7" t="s">
        <v>840</v>
      </c>
      <c r="D5267" s="69"/>
      <c r="E5267" s="42">
        <f>SUM(E5268:E5269)</f>
        <v>0.912</v>
      </c>
      <c r="F5267" s="69">
        <f>SUM(F5268:F5269)</f>
        <v>6.75344</v>
      </c>
      <c r="G5267" s="7">
        <v>1</v>
      </c>
      <c r="H5267" s="7" t="s">
        <v>839</v>
      </c>
      <c r="I5267" s="7" t="s">
        <v>840</v>
      </c>
      <c r="J5267" s="69"/>
      <c r="K5267" s="42">
        <f>SUM(K5268:K5269)</f>
        <v>0.952</v>
      </c>
      <c r="L5267" s="69">
        <f>SUM(L5268:L5269)</f>
        <v>7.04016</v>
      </c>
      <c r="M5267" s="7">
        <v>1</v>
      </c>
      <c r="N5267" s="7" t="s">
        <v>839</v>
      </c>
      <c r="O5267" s="7" t="s">
        <v>840</v>
      </c>
      <c r="P5267" s="69"/>
      <c r="Q5267" s="42">
        <f>SUM(Q5268:Q5269)</f>
        <v>51.312</v>
      </c>
      <c r="R5267" s="69">
        <f>SUM(R5268:R5269)</f>
        <v>379.76384</v>
      </c>
    </row>
    <row r="5268" ht="16.15" customHeight="1" spans="1:18">
      <c r="A5268" s="7"/>
      <c r="B5268" s="7" t="s">
        <v>841</v>
      </c>
      <c r="C5268" s="7" t="s">
        <v>840</v>
      </c>
      <c r="D5268" s="69">
        <f>D5245</f>
        <v>8.1</v>
      </c>
      <c r="E5268" s="42">
        <f>0.08*8</f>
        <v>0.64</v>
      </c>
      <c r="F5268" s="69">
        <f>D5268*E5268</f>
        <v>5.184</v>
      </c>
      <c r="G5268" s="7"/>
      <c r="H5268" s="7" t="s">
        <v>841</v>
      </c>
      <c r="I5268" s="7" t="s">
        <v>840</v>
      </c>
      <c r="J5268" s="69">
        <f>D5268</f>
        <v>8.1</v>
      </c>
      <c r="K5268" s="42">
        <f>0.083*8</f>
        <v>0.664</v>
      </c>
      <c r="L5268" s="69">
        <f>J5268*K5268</f>
        <v>5.3784</v>
      </c>
      <c r="M5268" s="7"/>
      <c r="N5268" s="7" t="s">
        <v>841</v>
      </c>
      <c r="O5268" s="7" t="s">
        <v>840</v>
      </c>
      <c r="P5268" s="69">
        <f>J5268</f>
        <v>8.1</v>
      </c>
      <c r="Q5268" s="42">
        <f>4.49*8</f>
        <v>35.92</v>
      </c>
      <c r="R5268" s="69">
        <f t="shared" ref="R5268:R5272" si="284">P5268*Q5268</f>
        <v>290.952</v>
      </c>
    </row>
    <row r="5269" ht="16.15" customHeight="1" spans="1:18">
      <c r="A5269" s="7"/>
      <c r="B5269" s="7" t="s">
        <v>842</v>
      </c>
      <c r="C5269" s="7" t="s">
        <v>840</v>
      </c>
      <c r="D5269" s="69">
        <f>D5246</f>
        <v>5.77</v>
      </c>
      <c r="E5269" s="42">
        <f>0.034*8</f>
        <v>0.272</v>
      </c>
      <c r="F5269" s="69">
        <f>D5269*E5269</f>
        <v>1.56944</v>
      </c>
      <c r="G5269" s="7"/>
      <c r="H5269" s="7" t="s">
        <v>842</v>
      </c>
      <c r="I5269" s="7" t="s">
        <v>840</v>
      </c>
      <c r="J5269" s="69">
        <f>D5269</f>
        <v>5.77</v>
      </c>
      <c r="K5269" s="42">
        <f>0.036*8</f>
        <v>0.288</v>
      </c>
      <c r="L5269" s="69">
        <f>J5269*K5269</f>
        <v>1.66176</v>
      </c>
      <c r="M5269" s="7"/>
      <c r="N5269" s="7" t="s">
        <v>842</v>
      </c>
      <c r="O5269" s="7" t="s">
        <v>840</v>
      </c>
      <c r="P5269" s="69">
        <f>J5269</f>
        <v>5.77</v>
      </c>
      <c r="Q5269" s="42">
        <f>1.924*8</f>
        <v>15.392</v>
      </c>
      <c r="R5269" s="69">
        <f t="shared" si="284"/>
        <v>88.81184</v>
      </c>
    </row>
    <row r="5270" ht="16.15" customHeight="1" spans="1:18">
      <c r="A5270" s="7">
        <v>2</v>
      </c>
      <c r="B5270" s="7" t="s">
        <v>1254</v>
      </c>
      <c r="C5270" s="9"/>
      <c r="D5270" s="38"/>
      <c r="E5270" s="38"/>
      <c r="F5270" s="38">
        <f>SUM(F5271:F5271)</f>
        <v>0</v>
      </c>
      <c r="G5270" s="7">
        <v>2</v>
      </c>
      <c r="H5270" s="7" t="s">
        <v>1254</v>
      </c>
      <c r="I5270" s="9"/>
      <c r="J5270" s="38"/>
      <c r="K5270" s="38"/>
      <c r="L5270" s="38">
        <f>SUM(L5271:L5271)</f>
        <v>0</v>
      </c>
      <c r="M5270" s="7">
        <v>2</v>
      </c>
      <c r="N5270" s="7" t="s">
        <v>1254</v>
      </c>
      <c r="O5270" s="9"/>
      <c r="P5270" s="38"/>
      <c r="Q5270" s="38"/>
      <c r="R5270" s="38">
        <f>SUM(R5271:R5272)</f>
        <v>0</v>
      </c>
    </row>
    <row r="5271" ht="16.15" customHeight="1" spans="1:18">
      <c r="A5271" s="7"/>
      <c r="B5271" s="336" t="s">
        <v>1394</v>
      </c>
      <c r="C5271" s="35" t="s">
        <v>1395</v>
      </c>
      <c r="D5271" s="38"/>
      <c r="E5271" s="38">
        <v>10.5</v>
      </c>
      <c r="F5271" s="38">
        <f>D5271*E5271</f>
        <v>0</v>
      </c>
      <c r="G5271" s="7"/>
      <c r="H5271" s="336" t="s">
        <v>1394</v>
      </c>
      <c r="I5271" s="35" t="s">
        <v>1395</v>
      </c>
      <c r="J5271" s="38"/>
      <c r="K5271" s="38">
        <v>10.5</v>
      </c>
      <c r="L5271" s="38">
        <f>J5271*K5271</f>
        <v>0</v>
      </c>
      <c r="M5271" s="7"/>
      <c r="N5271" s="336" t="s">
        <v>1388</v>
      </c>
      <c r="O5271" s="35" t="s">
        <v>790</v>
      </c>
      <c r="P5271" s="38"/>
      <c r="Q5271" s="38">
        <v>2750</v>
      </c>
      <c r="R5271" s="38">
        <f t="shared" si="284"/>
        <v>0</v>
      </c>
    </row>
    <row r="5272" ht="16.15" customHeight="1" spans="1:18">
      <c r="A5272" s="7">
        <v>3</v>
      </c>
      <c r="B5272" s="7" t="s">
        <v>843</v>
      </c>
      <c r="C5272" s="9"/>
      <c r="D5272" s="38"/>
      <c r="E5272" s="38"/>
      <c r="F5272" s="38"/>
      <c r="G5272" s="7">
        <v>3</v>
      </c>
      <c r="H5272" s="7" t="s">
        <v>843</v>
      </c>
      <c r="I5272" s="9"/>
      <c r="J5272" s="38"/>
      <c r="K5272" s="38"/>
      <c r="L5272" s="38"/>
      <c r="M5272" s="7"/>
      <c r="N5272" s="336" t="s">
        <v>913</v>
      </c>
      <c r="O5272" s="39" t="s">
        <v>1318</v>
      </c>
      <c r="P5272" s="38"/>
      <c r="Q5272" s="38">
        <v>5</v>
      </c>
      <c r="R5272" s="38">
        <f t="shared" si="284"/>
        <v>0</v>
      </c>
    </row>
    <row r="5273" ht="16.15" customHeight="1" spans="1:18">
      <c r="A5273" s="7" t="s">
        <v>564</v>
      </c>
      <c r="B5273" s="7" t="s">
        <v>846</v>
      </c>
      <c r="C5273" s="230">
        <f>C5251</f>
        <v>0.048</v>
      </c>
      <c r="D5273" s="38"/>
      <c r="E5273" s="38">
        <f>F5266</f>
        <v>6.75344</v>
      </c>
      <c r="F5273" s="38">
        <f t="shared" ref="F5273:F5276" si="285">E5273*C5273</f>
        <v>0.32416512</v>
      </c>
      <c r="G5273" s="7" t="s">
        <v>564</v>
      </c>
      <c r="H5273" s="7" t="s">
        <v>846</v>
      </c>
      <c r="I5273" s="230">
        <f>C5273</f>
        <v>0.048</v>
      </c>
      <c r="J5273" s="38"/>
      <c r="K5273" s="38">
        <f>L5266</f>
        <v>7.04016</v>
      </c>
      <c r="L5273" s="38">
        <f t="shared" ref="L5273:L5276" si="286">K5273*I5273</f>
        <v>0.33792768</v>
      </c>
      <c r="M5273" s="7">
        <v>3</v>
      </c>
      <c r="N5273" s="7" t="s">
        <v>843</v>
      </c>
      <c r="O5273" s="9"/>
      <c r="P5273" s="38"/>
      <c r="Q5273" s="38"/>
      <c r="R5273" s="38"/>
    </row>
    <row r="5274" ht="16.15" customHeight="1" spans="1:18">
      <c r="A5274" s="7" t="s">
        <v>439</v>
      </c>
      <c r="B5274" s="7" t="s">
        <v>847</v>
      </c>
      <c r="C5274" s="230">
        <f>C5252</f>
        <v>0.0725</v>
      </c>
      <c r="D5274" s="38"/>
      <c r="E5274" s="38">
        <f>F5265</f>
        <v>7.07760512</v>
      </c>
      <c r="F5274" s="38">
        <f t="shared" si="285"/>
        <v>0.5131263712</v>
      </c>
      <c r="G5274" s="7" t="s">
        <v>439</v>
      </c>
      <c r="H5274" s="7" t="s">
        <v>847</v>
      </c>
      <c r="I5274" s="230">
        <f t="shared" ref="I5274:I5276" si="287">C5274</f>
        <v>0.0725</v>
      </c>
      <c r="J5274" s="38"/>
      <c r="K5274" s="38">
        <f>L5265</f>
        <v>7.37808768</v>
      </c>
      <c r="L5274" s="38">
        <f t="shared" si="286"/>
        <v>0.5349113568</v>
      </c>
      <c r="M5274" s="7" t="s">
        <v>564</v>
      </c>
      <c r="N5274" s="7" t="s">
        <v>846</v>
      </c>
      <c r="O5274" s="230">
        <f>I5273</f>
        <v>0.048</v>
      </c>
      <c r="P5274" s="38"/>
      <c r="Q5274" s="38">
        <f>R5266</f>
        <v>379.76384</v>
      </c>
      <c r="R5274" s="38">
        <f t="shared" ref="R5274:R5277" si="288">Q5274*O5274</f>
        <v>18.22866432</v>
      </c>
    </row>
    <row r="5275" ht="16.15" customHeight="1" spans="1:18">
      <c r="A5275" s="7" t="s">
        <v>83</v>
      </c>
      <c r="B5275" s="7" t="s">
        <v>848</v>
      </c>
      <c r="C5275" s="230">
        <f>C5253</f>
        <v>0.05</v>
      </c>
      <c r="D5275" s="38"/>
      <c r="E5275" s="38">
        <f>F5274+F5265</f>
        <v>7.5907314912</v>
      </c>
      <c r="F5275" s="38">
        <f t="shared" si="285"/>
        <v>0.37953657456</v>
      </c>
      <c r="G5275" s="7" t="s">
        <v>83</v>
      </c>
      <c r="H5275" s="7" t="s">
        <v>848</v>
      </c>
      <c r="I5275" s="230">
        <f t="shared" si="287"/>
        <v>0.05</v>
      </c>
      <c r="J5275" s="38"/>
      <c r="K5275" s="38">
        <f>L5274+L5265</f>
        <v>7.9129990368</v>
      </c>
      <c r="L5275" s="38">
        <f t="shared" si="286"/>
        <v>0.39564995184</v>
      </c>
      <c r="M5275" s="7" t="s">
        <v>439</v>
      </c>
      <c r="N5275" s="7" t="s">
        <v>847</v>
      </c>
      <c r="O5275" s="230">
        <f>I5274</f>
        <v>0.0725</v>
      </c>
      <c r="P5275" s="38"/>
      <c r="Q5275" s="38">
        <f>R5265</f>
        <v>397.99250432</v>
      </c>
      <c r="R5275" s="38">
        <f t="shared" si="288"/>
        <v>28.8544565632</v>
      </c>
    </row>
    <row r="5276" ht="16.15" customHeight="1" spans="1:18">
      <c r="A5276" s="7" t="s">
        <v>135</v>
      </c>
      <c r="B5276" s="7" t="s">
        <v>849</v>
      </c>
      <c r="C5276" s="231">
        <f>C5254</f>
        <v>0.09</v>
      </c>
      <c r="D5276" s="38"/>
      <c r="E5276" s="34">
        <f>F5275+F5274+F5265</f>
        <v>7.97026806576</v>
      </c>
      <c r="F5276" s="38">
        <f t="shared" si="285"/>
        <v>0.7173241259184</v>
      </c>
      <c r="G5276" s="7" t="s">
        <v>135</v>
      </c>
      <c r="H5276" s="7" t="s">
        <v>849</v>
      </c>
      <c r="I5276" s="230">
        <f t="shared" si="287"/>
        <v>0.09</v>
      </c>
      <c r="J5276" s="38"/>
      <c r="K5276" s="34">
        <f>L5275+L5274+L5265</f>
        <v>8.30864898864</v>
      </c>
      <c r="L5276" s="38">
        <f t="shared" si="286"/>
        <v>0.7477784089776</v>
      </c>
      <c r="M5276" s="7" t="s">
        <v>83</v>
      </c>
      <c r="N5276" s="7" t="s">
        <v>848</v>
      </c>
      <c r="O5276" s="230">
        <f>I5275</f>
        <v>0.05</v>
      </c>
      <c r="P5276" s="38"/>
      <c r="Q5276" s="38">
        <f>R5275+R5265</f>
        <v>426.8469608832</v>
      </c>
      <c r="R5276" s="38">
        <f t="shared" si="288"/>
        <v>21.34234804416</v>
      </c>
    </row>
    <row r="5277" ht="16.15" customHeight="1" spans="1:18">
      <c r="A5277" s="7"/>
      <c r="B5277" s="7" t="s">
        <v>850</v>
      </c>
      <c r="C5277" s="231"/>
      <c r="D5277" s="38"/>
      <c r="E5277" s="34"/>
      <c r="F5277" s="38">
        <f>(E5276+F5276)*取费表!H12</f>
        <v>0.260627765750352</v>
      </c>
      <c r="G5277" s="7"/>
      <c r="H5277" s="7" t="s">
        <v>850</v>
      </c>
      <c r="I5277" s="231"/>
      <c r="J5277" s="38"/>
      <c r="K5277" s="34"/>
      <c r="L5277" s="38">
        <f>(K5276+L5276)*取费表!H12</f>
        <v>0.271692821928528</v>
      </c>
      <c r="M5277" s="7" t="s">
        <v>135</v>
      </c>
      <c r="N5277" s="7" t="s">
        <v>849</v>
      </c>
      <c r="O5277" s="231">
        <f>I5276</f>
        <v>0.09</v>
      </c>
      <c r="P5277" s="38"/>
      <c r="Q5277" s="34">
        <f>R5276+R5275+R5265</f>
        <v>448.18930892736</v>
      </c>
      <c r="R5277" s="38">
        <f t="shared" si="288"/>
        <v>40.3370378034624</v>
      </c>
    </row>
    <row r="5278" ht="16.15" customHeight="1" spans="1:18">
      <c r="A5278" s="7"/>
      <c r="B5278" s="7" t="s">
        <v>156</v>
      </c>
      <c r="C5278" s="7"/>
      <c r="D5278" s="38"/>
      <c r="E5278" s="38"/>
      <c r="F5278" s="38">
        <f>F5276+E5276+F5277</f>
        <v>8.94821995742875</v>
      </c>
      <c r="G5278" s="7"/>
      <c r="H5278" s="7" t="s">
        <v>156</v>
      </c>
      <c r="I5278" s="7"/>
      <c r="J5278" s="38"/>
      <c r="K5278" s="38"/>
      <c r="L5278" s="38">
        <f>L5276+K5276+L5277</f>
        <v>9.32812021954613</v>
      </c>
      <c r="M5278" s="7"/>
      <c r="N5278" s="7" t="s">
        <v>850</v>
      </c>
      <c r="O5278" s="231"/>
      <c r="P5278" s="38"/>
      <c r="Q5278" s="34"/>
      <c r="R5278" s="38">
        <f>(Q5277+R5277)*取费表!H12</f>
        <v>14.6557904019247</v>
      </c>
    </row>
    <row r="5279" ht="16.15" customHeight="1" spans="1:18">
      <c r="A5279" s="229"/>
      <c r="B5279" s="229"/>
      <c r="C5279" s="229"/>
      <c r="D5279" s="349"/>
      <c r="E5279" s="349"/>
      <c r="F5279" s="349"/>
      <c r="M5279" s="7"/>
      <c r="N5279" s="7" t="s">
        <v>156</v>
      </c>
      <c r="O5279" s="7"/>
      <c r="P5279" s="38"/>
      <c r="Q5279" s="38"/>
      <c r="R5279" s="38">
        <f>R5277+Q5277+R5278</f>
        <v>503.182137132747</v>
      </c>
    </row>
    <row r="5280" ht="16.15" customHeight="1" spans="1:6">
      <c r="A5280" s="229"/>
      <c r="B5280" s="229"/>
      <c r="C5280" s="229"/>
      <c r="D5280" s="349"/>
      <c r="E5280" s="349"/>
      <c r="F5280" s="349"/>
    </row>
    <row r="5281" ht="16.15" customHeight="1" spans="1:6">
      <c r="A5281" s="224" t="s">
        <v>828</v>
      </c>
      <c r="B5281" s="225"/>
      <c r="C5281" s="225"/>
      <c r="D5281" s="225"/>
      <c r="E5281" s="225"/>
      <c r="F5281" s="225"/>
    </row>
    <row r="5282" ht="16.15" customHeight="1" spans="1:6">
      <c r="A5282" s="296" t="s">
        <v>1396</v>
      </c>
      <c r="B5282" s="296"/>
      <c r="C5282" s="296"/>
      <c r="D5282" s="296"/>
      <c r="E5282" s="296"/>
      <c r="F5282" s="296"/>
    </row>
    <row r="5283" ht="16.15" customHeight="1" spans="1:6">
      <c r="A5283" s="227" t="s">
        <v>1397</v>
      </c>
      <c r="B5283" s="228"/>
      <c r="C5283" s="229"/>
      <c r="D5283" s="229"/>
      <c r="E5283" s="228" t="s">
        <v>1398</v>
      </c>
      <c r="F5283" s="228"/>
    </row>
    <row r="5284" ht="16.15" customHeight="1" spans="1:6">
      <c r="A5284" s="232" t="s">
        <v>911</v>
      </c>
      <c r="B5284" s="233" t="s">
        <v>1377</v>
      </c>
      <c r="C5284" s="233"/>
      <c r="D5284" s="233"/>
      <c r="E5284" s="233"/>
      <c r="F5284" s="147"/>
    </row>
    <row r="5285" ht="16.15" customHeight="1" spans="1:6">
      <c r="A5285" s="7" t="s">
        <v>104</v>
      </c>
      <c r="B5285" s="7" t="s">
        <v>835</v>
      </c>
      <c r="C5285" s="7" t="s">
        <v>159</v>
      </c>
      <c r="D5285" s="7" t="s">
        <v>422</v>
      </c>
      <c r="E5285" s="7" t="s">
        <v>160</v>
      </c>
      <c r="F5285" s="7" t="s">
        <v>18</v>
      </c>
    </row>
    <row r="5286" ht="16.15" customHeight="1" spans="1:6">
      <c r="A5286" s="7" t="s">
        <v>836</v>
      </c>
      <c r="B5286" s="7" t="s">
        <v>837</v>
      </c>
      <c r="C5286" s="7"/>
      <c r="D5286" s="7"/>
      <c r="E5286" s="7"/>
      <c r="F5286" s="34">
        <f>F5287+F5297</f>
        <v>23.9779256</v>
      </c>
    </row>
    <row r="5287" ht="16.15" customHeight="1" spans="1:6">
      <c r="A5287" s="7" t="s">
        <v>539</v>
      </c>
      <c r="B5287" s="7" t="s">
        <v>838</v>
      </c>
      <c r="C5287" s="7"/>
      <c r="D5287" s="7"/>
      <c r="E5287" s="7"/>
      <c r="F5287" s="34">
        <f>F5288+F5291+F5295</f>
        <v>22.8797</v>
      </c>
    </row>
    <row r="5288" ht="16.15" customHeight="1" spans="1:6">
      <c r="A5288" s="7">
        <v>1</v>
      </c>
      <c r="B5288" s="7" t="s">
        <v>839</v>
      </c>
      <c r="C5288" s="7" t="s">
        <v>840</v>
      </c>
      <c r="D5288" s="69"/>
      <c r="E5288" s="42">
        <f>SUM(E5289:E5290)</f>
        <v>2.104</v>
      </c>
      <c r="F5288" s="69">
        <f>SUM(F5289:F5290)</f>
        <v>15.56984</v>
      </c>
    </row>
    <row r="5289" ht="16.15" customHeight="1" spans="1:6">
      <c r="A5289" s="7"/>
      <c r="B5289" s="7" t="s">
        <v>841</v>
      </c>
      <c r="C5289" s="7" t="s">
        <v>840</v>
      </c>
      <c r="D5289" s="69">
        <f>D5225</f>
        <v>8.1</v>
      </c>
      <c r="E5289" s="42">
        <f>(0.158+0.026)*8</f>
        <v>1.472</v>
      </c>
      <c r="F5289" s="69">
        <f>D5289*E5289</f>
        <v>11.9232</v>
      </c>
    </row>
    <row r="5290" ht="16.15" customHeight="1" spans="1:6">
      <c r="A5290" s="7"/>
      <c r="B5290" s="7" t="s">
        <v>842</v>
      </c>
      <c r="C5290" s="7" t="s">
        <v>840</v>
      </c>
      <c r="D5290" s="69">
        <f>D5226</f>
        <v>5.77</v>
      </c>
      <c r="E5290" s="42">
        <f>0.079*8</f>
        <v>0.632</v>
      </c>
      <c r="F5290" s="69">
        <f>D5290*E5290</f>
        <v>3.64664</v>
      </c>
    </row>
    <row r="5291" ht="16.15" customHeight="1" spans="1:6">
      <c r="A5291" s="7">
        <v>2</v>
      </c>
      <c r="B5291" s="7" t="s">
        <v>1254</v>
      </c>
      <c r="C5291" s="9"/>
      <c r="D5291" s="38"/>
      <c r="E5291" s="38"/>
      <c r="F5291" s="38">
        <f>SUM(F5292:F5294)</f>
        <v>5.8601</v>
      </c>
    </row>
    <row r="5292" ht="16.15" customHeight="1" spans="1:6">
      <c r="A5292" s="7"/>
      <c r="B5292" s="336" t="s">
        <v>1399</v>
      </c>
      <c r="C5292" s="35" t="s">
        <v>863</v>
      </c>
      <c r="D5292" s="38">
        <v>4.66</v>
      </c>
      <c r="E5292" s="350">
        <v>0.465</v>
      </c>
      <c r="F5292" s="38">
        <f>D5292*E5292</f>
        <v>2.1669</v>
      </c>
    </row>
    <row r="5293" ht="16.15" customHeight="1" spans="1:6">
      <c r="A5293" s="7"/>
      <c r="B5293" s="336" t="s">
        <v>1400</v>
      </c>
      <c r="C5293" s="35" t="s">
        <v>863</v>
      </c>
      <c r="D5293" s="38">
        <v>50</v>
      </c>
      <c r="E5293" s="350">
        <v>0.033</v>
      </c>
      <c r="F5293" s="38">
        <f>D5293*E5293</f>
        <v>1.65</v>
      </c>
    </row>
    <row r="5294" ht="16.15" customHeight="1" spans="1:6">
      <c r="A5294" s="7"/>
      <c r="B5294" s="336" t="s">
        <v>913</v>
      </c>
      <c r="C5294" s="39" t="s">
        <v>1320</v>
      </c>
      <c r="D5294" s="351">
        <v>12.77</v>
      </c>
      <c r="E5294" s="38">
        <v>0.16</v>
      </c>
      <c r="F5294" s="38">
        <f>D5294*E5294</f>
        <v>2.0432</v>
      </c>
    </row>
    <row r="5295" ht="16.15" customHeight="1" spans="1:6">
      <c r="A5295" s="7">
        <v>3</v>
      </c>
      <c r="B5295" s="7" t="s">
        <v>843</v>
      </c>
      <c r="C5295" s="9"/>
      <c r="D5295" s="38"/>
      <c r="E5295" s="38"/>
      <c r="F5295" s="38">
        <f>F5296</f>
        <v>1.44976</v>
      </c>
    </row>
    <row r="5296" ht="16.15" customHeight="1" spans="1:6">
      <c r="A5296" s="7"/>
      <c r="B5296" s="7" t="s">
        <v>1401</v>
      </c>
      <c r="C5296" s="7" t="s">
        <v>428</v>
      </c>
      <c r="D5296" s="38">
        <f>362.44/8</f>
        <v>45.305</v>
      </c>
      <c r="E5296" s="350">
        <f>0.004*8</f>
        <v>0.032</v>
      </c>
      <c r="F5296" s="38">
        <f>D5296*E5296</f>
        <v>1.44976</v>
      </c>
    </row>
    <row r="5297" ht="16.15" customHeight="1" spans="1:6">
      <c r="A5297" s="7" t="s">
        <v>564</v>
      </c>
      <c r="B5297" s="7" t="s">
        <v>846</v>
      </c>
      <c r="C5297" s="230">
        <f t="shared" ref="C5297:C5300" si="289">C5231</f>
        <v>0.048</v>
      </c>
      <c r="D5297" s="38"/>
      <c r="E5297" s="38">
        <f>F5287</f>
        <v>22.8797</v>
      </c>
      <c r="F5297" s="38">
        <f t="shared" ref="F5297:F5300" si="290">E5297*C5297</f>
        <v>1.0982256</v>
      </c>
    </row>
    <row r="5298" ht="16.15" customHeight="1" spans="1:6">
      <c r="A5298" s="7" t="s">
        <v>439</v>
      </c>
      <c r="B5298" s="7" t="s">
        <v>847</v>
      </c>
      <c r="C5298" s="230">
        <f t="shared" si="289"/>
        <v>0.0725</v>
      </c>
      <c r="D5298" s="38"/>
      <c r="E5298" s="38">
        <f>F5286</f>
        <v>23.9779256</v>
      </c>
      <c r="F5298" s="38">
        <f t="shared" si="290"/>
        <v>1.738399606</v>
      </c>
    </row>
    <row r="5299" ht="16.15" customHeight="1" spans="1:6">
      <c r="A5299" s="7" t="s">
        <v>83</v>
      </c>
      <c r="B5299" s="7" t="s">
        <v>848</v>
      </c>
      <c r="C5299" s="230">
        <f t="shared" si="289"/>
        <v>0.05</v>
      </c>
      <c r="D5299" s="38"/>
      <c r="E5299" s="38">
        <f>F5298+F5286</f>
        <v>25.716325206</v>
      </c>
      <c r="F5299" s="38">
        <f t="shared" si="290"/>
        <v>1.2858162603</v>
      </c>
    </row>
    <row r="5300" ht="16.15" customHeight="1" spans="1:6">
      <c r="A5300" s="7" t="s">
        <v>135</v>
      </c>
      <c r="B5300" s="7" t="s">
        <v>849</v>
      </c>
      <c r="C5300" s="231">
        <f t="shared" si="289"/>
        <v>0.09</v>
      </c>
      <c r="D5300" s="38"/>
      <c r="E5300" s="34">
        <f>F5299+F5298+F5286</f>
        <v>27.0021414663</v>
      </c>
      <c r="F5300" s="38">
        <f t="shared" si="290"/>
        <v>2.430192731967</v>
      </c>
    </row>
    <row r="5301" ht="16.15" customHeight="1" spans="1:6">
      <c r="A5301" s="7"/>
      <c r="B5301" s="7" t="s">
        <v>850</v>
      </c>
      <c r="C5301" s="231"/>
      <c r="D5301" s="38"/>
      <c r="E5301" s="34"/>
      <c r="F5301" s="38">
        <f>(E5300+F5300)*取费表!H12</f>
        <v>0.88297002594801</v>
      </c>
    </row>
    <row r="5302" ht="16.15" customHeight="1" spans="1:6">
      <c r="A5302" s="7"/>
      <c r="B5302" s="7" t="s">
        <v>156</v>
      </c>
      <c r="C5302" s="7"/>
      <c r="D5302" s="38"/>
      <c r="E5302" s="38"/>
      <c r="F5302" s="38">
        <f>F5300+E5300+F5301</f>
        <v>30.315304224215</v>
      </c>
    </row>
    <row r="5303" ht="15.4" customHeight="1" spans="1:6">
      <c r="A5303" s="224" t="s">
        <v>828</v>
      </c>
      <c r="B5303" s="225"/>
      <c r="C5303" s="225"/>
      <c r="D5303" s="225"/>
      <c r="E5303" s="225"/>
      <c r="F5303" s="225"/>
    </row>
    <row r="5304" ht="15.4" customHeight="1" spans="1:6">
      <c r="A5304" s="296" t="s">
        <v>1402</v>
      </c>
      <c r="B5304" s="296"/>
      <c r="C5304" s="296"/>
      <c r="D5304" s="296"/>
      <c r="E5304" s="296"/>
      <c r="F5304" s="296"/>
    </row>
    <row r="5305" ht="15.4" customHeight="1" spans="1:6">
      <c r="A5305" s="227" t="s">
        <v>1403</v>
      </c>
      <c r="B5305" s="228"/>
      <c r="C5305" s="229"/>
      <c r="D5305" s="229"/>
      <c r="E5305" s="228" t="s">
        <v>1404</v>
      </c>
      <c r="F5305" s="228"/>
    </row>
    <row r="5306" ht="15.4" customHeight="1" spans="1:6">
      <c r="A5306" s="232" t="s">
        <v>911</v>
      </c>
      <c r="B5306" s="233" t="s">
        <v>1377</v>
      </c>
      <c r="C5306" s="233"/>
      <c r="D5306" s="233"/>
      <c r="E5306" s="233"/>
      <c r="F5306" s="147"/>
    </row>
    <row r="5307" ht="15.4" customHeight="1" spans="1:6">
      <c r="A5307" s="7" t="s">
        <v>104</v>
      </c>
      <c r="B5307" s="7" t="s">
        <v>835</v>
      </c>
      <c r="C5307" s="7" t="s">
        <v>159</v>
      </c>
      <c r="D5307" s="7" t="s">
        <v>422</v>
      </c>
      <c r="E5307" s="7" t="s">
        <v>160</v>
      </c>
      <c r="F5307" s="7" t="s">
        <v>18</v>
      </c>
    </row>
    <row r="5308" ht="15.4" customHeight="1" spans="1:6">
      <c r="A5308" s="7" t="s">
        <v>836</v>
      </c>
      <c r="B5308" s="7" t="s">
        <v>837</v>
      </c>
      <c r="C5308" s="7"/>
      <c r="D5308" s="7"/>
      <c r="E5308" s="7"/>
      <c r="F5308" s="34">
        <f>F5309+F5319</f>
        <v>21.9693288</v>
      </c>
    </row>
    <row r="5309" ht="15.4" customHeight="1" spans="1:6">
      <c r="A5309" s="7" t="s">
        <v>539</v>
      </c>
      <c r="B5309" s="7" t="s">
        <v>838</v>
      </c>
      <c r="C5309" s="7"/>
      <c r="D5309" s="7"/>
      <c r="E5309" s="7"/>
      <c r="F5309" s="34">
        <f>F5310+F5313+F5317</f>
        <v>20.9631</v>
      </c>
    </row>
    <row r="5310" ht="15.4" customHeight="1" spans="1:6">
      <c r="A5310" s="7">
        <v>1</v>
      </c>
      <c r="B5310" s="7" t="s">
        <v>839</v>
      </c>
      <c r="C5310" s="7" t="s">
        <v>840</v>
      </c>
      <c r="D5310" s="69"/>
      <c r="E5310" s="42">
        <f>SUM(E5311:E5312)</f>
        <v>1.944</v>
      </c>
      <c r="F5310" s="69">
        <f>SUM(F5311:F5312)</f>
        <v>14.38568</v>
      </c>
    </row>
    <row r="5311" ht="15.4" customHeight="1" spans="1:6">
      <c r="A5311" s="7"/>
      <c r="B5311" s="7" t="s">
        <v>841</v>
      </c>
      <c r="C5311" s="7" t="s">
        <v>840</v>
      </c>
      <c r="D5311" s="69">
        <f>D5289</f>
        <v>8.1</v>
      </c>
      <c r="E5311" s="42">
        <f>(0.146+0.024)*8</f>
        <v>1.36</v>
      </c>
      <c r="F5311" s="69">
        <f t="shared" ref="F5311:F5316" si="291">D5311*E5311</f>
        <v>11.016</v>
      </c>
    </row>
    <row r="5312" ht="15.4" customHeight="1" spans="1:6">
      <c r="A5312" s="7"/>
      <c r="B5312" s="7" t="s">
        <v>842</v>
      </c>
      <c r="C5312" s="7" t="s">
        <v>840</v>
      </c>
      <c r="D5312" s="69">
        <f>D5290</f>
        <v>5.77</v>
      </c>
      <c r="E5312" s="42">
        <f>0.073*8</f>
        <v>0.584</v>
      </c>
      <c r="F5312" s="69">
        <f t="shared" si="291"/>
        <v>3.36968</v>
      </c>
    </row>
    <row r="5313" ht="15.4" customHeight="1" spans="1:6">
      <c r="A5313" s="7">
        <v>2</v>
      </c>
      <c r="B5313" s="7" t="s">
        <v>1254</v>
      </c>
      <c r="C5313" s="9"/>
      <c r="D5313" s="38"/>
      <c r="E5313" s="38"/>
      <c r="F5313" s="38">
        <f>SUM(F5314:F5316)</f>
        <v>5.4901</v>
      </c>
    </row>
    <row r="5314" ht="15.4" customHeight="1" spans="1:6">
      <c r="A5314" s="7"/>
      <c r="B5314" s="336" t="s">
        <v>1399</v>
      </c>
      <c r="C5314" s="35" t="s">
        <v>863</v>
      </c>
      <c r="D5314" s="38">
        <v>4.66</v>
      </c>
      <c r="E5314" s="350">
        <v>0.5</v>
      </c>
      <c r="F5314" s="38">
        <f t="shared" si="291"/>
        <v>2.33</v>
      </c>
    </row>
    <row r="5315" ht="15.4" customHeight="1" spans="1:6">
      <c r="A5315" s="7"/>
      <c r="B5315" s="336" t="s">
        <v>1400</v>
      </c>
      <c r="C5315" s="35" t="s">
        <v>863</v>
      </c>
      <c r="D5315" s="38">
        <v>50</v>
      </c>
      <c r="E5315" s="350">
        <v>0.03</v>
      </c>
      <c r="F5315" s="38">
        <f t="shared" si="291"/>
        <v>1.5</v>
      </c>
    </row>
    <row r="5316" ht="15.4" customHeight="1" spans="1:6">
      <c r="A5316" s="7"/>
      <c r="B5316" s="336" t="s">
        <v>913</v>
      </c>
      <c r="C5316" s="39" t="s">
        <v>1320</v>
      </c>
      <c r="D5316" s="351">
        <v>12.77</v>
      </c>
      <c r="E5316" s="38">
        <v>0.13</v>
      </c>
      <c r="F5316" s="38">
        <f t="shared" si="291"/>
        <v>1.6601</v>
      </c>
    </row>
    <row r="5317" ht="15.4" customHeight="1" spans="1:6">
      <c r="A5317" s="7">
        <v>3</v>
      </c>
      <c r="B5317" s="7" t="s">
        <v>843</v>
      </c>
      <c r="C5317" s="9"/>
      <c r="D5317" s="38"/>
      <c r="E5317" s="38"/>
      <c r="F5317" s="38">
        <f>F5318</f>
        <v>1.08732</v>
      </c>
    </row>
    <row r="5318" ht="15.4" customHeight="1" spans="1:6">
      <c r="A5318" s="7"/>
      <c r="B5318" s="7" t="s">
        <v>1401</v>
      </c>
      <c r="C5318" s="7" t="s">
        <v>428</v>
      </c>
      <c r="D5318" s="38">
        <f>362.44/8</f>
        <v>45.305</v>
      </c>
      <c r="E5318" s="350">
        <f>0.003*8</f>
        <v>0.024</v>
      </c>
      <c r="F5318" s="38">
        <f>D5318*E5318</f>
        <v>1.08732</v>
      </c>
    </row>
    <row r="5319" ht="15.4" customHeight="1" spans="1:6">
      <c r="A5319" s="7" t="s">
        <v>564</v>
      </c>
      <c r="B5319" s="7" t="s">
        <v>846</v>
      </c>
      <c r="C5319" s="230">
        <f t="shared" ref="C5319:C5322" si="292">C5297</f>
        <v>0.048</v>
      </c>
      <c r="D5319" s="38"/>
      <c r="E5319" s="38">
        <f>F5309</f>
        <v>20.9631</v>
      </c>
      <c r="F5319" s="38">
        <f t="shared" ref="F5319:F5322" si="293">E5319*C5319</f>
        <v>1.0062288</v>
      </c>
    </row>
    <row r="5320" ht="15.4" customHeight="1" spans="1:6">
      <c r="A5320" s="7" t="s">
        <v>439</v>
      </c>
      <c r="B5320" s="7" t="s">
        <v>847</v>
      </c>
      <c r="C5320" s="230">
        <f t="shared" si="292"/>
        <v>0.0725</v>
      </c>
      <c r="D5320" s="38"/>
      <c r="E5320" s="38">
        <f>F5308</f>
        <v>21.9693288</v>
      </c>
      <c r="F5320" s="38">
        <f t="shared" si="293"/>
        <v>1.592776338</v>
      </c>
    </row>
    <row r="5321" ht="15.4" customHeight="1" spans="1:6">
      <c r="A5321" s="7" t="s">
        <v>83</v>
      </c>
      <c r="B5321" s="7" t="s">
        <v>848</v>
      </c>
      <c r="C5321" s="230">
        <f t="shared" si="292"/>
        <v>0.05</v>
      </c>
      <c r="D5321" s="38"/>
      <c r="E5321" s="38">
        <f>F5320+F5308</f>
        <v>23.562105138</v>
      </c>
      <c r="F5321" s="38">
        <f t="shared" si="293"/>
        <v>1.1781052569</v>
      </c>
    </row>
    <row r="5322" ht="15.4" customHeight="1" spans="1:6">
      <c r="A5322" s="7" t="s">
        <v>135</v>
      </c>
      <c r="B5322" s="7" t="s">
        <v>849</v>
      </c>
      <c r="C5322" s="231">
        <f t="shared" si="292"/>
        <v>0.09</v>
      </c>
      <c r="D5322" s="38"/>
      <c r="E5322" s="34">
        <f>F5321+F5320+F5308</f>
        <v>24.7402103949</v>
      </c>
      <c r="F5322" s="38">
        <f t="shared" si="293"/>
        <v>2.226618935541</v>
      </c>
    </row>
    <row r="5323" ht="15.4" customHeight="1" spans="1:6">
      <c r="A5323" s="7"/>
      <c r="B5323" s="7" t="s">
        <v>850</v>
      </c>
      <c r="C5323" s="231"/>
      <c r="D5323" s="38"/>
      <c r="E5323" s="34"/>
      <c r="F5323" s="38">
        <f>(E5322+F5322)*取费表!H12</f>
        <v>0.80900487991323</v>
      </c>
    </row>
    <row r="5324" ht="15.4" customHeight="1" spans="1:6">
      <c r="A5324" s="7"/>
      <c r="B5324" s="7" t="s">
        <v>156</v>
      </c>
      <c r="C5324" s="7"/>
      <c r="D5324" s="38"/>
      <c r="E5324" s="38"/>
      <c r="F5324" s="351">
        <f>F5322+E5322+F5323</f>
        <v>27.7758342103542</v>
      </c>
    </row>
    <row r="5325" ht="15.4" customHeight="1" spans="1:6">
      <c r="A5325" s="224" t="s">
        <v>828</v>
      </c>
      <c r="B5325" s="225"/>
      <c r="C5325" s="225"/>
      <c r="D5325" s="225"/>
      <c r="E5325" s="225"/>
      <c r="F5325" s="225"/>
    </row>
    <row r="5326" ht="15.4" customHeight="1" spans="1:6">
      <c r="A5326" s="296" t="s">
        <v>1405</v>
      </c>
      <c r="B5326" s="296"/>
      <c r="C5326" s="296"/>
      <c r="D5326" s="296"/>
      <c r="E5326" s="296"/>
      <c r="F5326" s="296"/>
    </row>
    <row r="5327" ht="15.4" customHeight="1" spans="1:6">
      <c r="A5327" s="227" t="s">
        <v>1406</v>
      </c>
      <c r="B5327" s="228"/>
      <c r="C5327" s="229"/>
      <c r="D5327" s="229"/>
      <c r="E5327" s="228" t="s">
        <v>1404</v>
      </c>
      <c r="F5327" s="228"/>
    </row>
    <row r="5328" ht="15.4" customHeight="1" spans="1:6">
      <c r="A5328" s="232" t="s">
        <v>911</v>
      </c>
      <c r="B5328" s="233" t="s">
        <v>1407</v>
      </c>
      <c r="C5328" s="233"/>
      <c r="D5328" s="233"/>
      <c r="E5328" s="233"/>
      <c r="F5328" s="147"/>
    </row>
    <row r="5329" ht="15.4" customHeight="1" spans="1:6">
      <c r="A5329" s="7" t="s">
        <v>104</v>
      </c>
      <c r="B5329" s="7" t="s">
        <v>835</v>
      </c>
      <c r="C5329" s="7" t="s">
        <v>159</v>
      </c>
      <c r="D5329" s="7" t="s">
        <v>422</v>
      </c>
      <c r="E5329" s="7" t="s">
        <v>160</v>
      </c>
      <c r="F5329" s="7" t="s">
        <v>18</v>
      </c>
    </row>
    <row r="5330" ht="15.4" customHeight="1" spans="1:6">
      <c r="A5330" s="7" t="s">
        <v>836</v>
      </c>
      <c r="B5330" s="7" t="s">
        <v>837</v>
      </c>
      <c r="C5330" s="7"/>
      <c r="D5330" s="7"/>
      <c r="E5330" s="7"/>
      <c r="F5330" s="34">
        <f>F5331+F5341</f>
        <v>5.12991808</v>
      </c>
    </row>
    <row r="5331" ht="15.4" customHeight="1" spans="1:6">
      <c r="A5331" s="7" t="s">
        <v>539</v>
      </c>
      <c r="B5331" s="7" t="s">
        <v>838</v>
      </c>
      <c r="C5331" s="7"/>
      <c r="D5331" s="7"/>
      <c r="E5331" s="7"/>
      <c r="F5331" s="34">
        <f>F5332+F5335+F5339</f>
        <v>4.89496</v>
      </c>
    </row>
    <row r="5332" ht="15.4" customHeight="1" spans="1:6">
      <c r="A5332" s="7">
        <v>1</v>
      </c>
      <c r="B5332" s="7" t="s">
        <v>839</v>
      </c>
      <c r="C5332" s="7" t="s">
        <v>840</v>
      </c>
      <c r="D5332" s="69"/>
      <c r="E5332" s="42">
        <f>SUM(E5333:E5334)</f>
        <v>0.304</v>
      </c>
      <c r="F5332" s="69">
        <f>SUM(F5333:F5334)</f>
        <v>2.25736</v>
      </c>
    </row>
    <row r="5333" ht="15.4" customHeight="1" spans="1:6">
      <c r="A5333" s="7"/>
      <c r="B5333" s="7" t="s">
        <v>841</v>
      </c>
      <c r="C5333" s="7" t="s">
        <v>840</v>
      </c>
      <c r="D5333" s="69">
        <f>D5311</f>
        <v>8.1</v>
      </c>
      <c r="E5333" s="42">
        <f>(0.023+0.004)*8</f>
        <v>0.216</v>
      </c>
      <c r="F5333" s="69">
        <f t="shared" ref="F5333:F5338" si="294">D5333*E5333</f>
        <v>1.7496</v>
      </c>
    </row>
    <row r="5334" ht="15.4" customHeight="1" spans="1:6">
      <c r="A5334" s="7"/>
      <c r="B5334" s="7" t="s">
        <v>842</v>
      </c>
      <c r="C5334" s="7" t="s">
        <v>840</v>
      </c>
      <c r="D5334" s="69">
        <f>D5312</f>
        <v>5.77</v>
      </c>
      <c r="E5334" s="42">
        <f>0.011*8</f>
        <v>0.088</v>
      </c>
      <c r="F5334" s="69">
        <f t="shared" si="294"/>
        <v>0.50776</v>
      </c>
    </row>
    <row r="5335" ht="15.4" customHeight="1" spans="1:6">
      <c r="A5335" s="7">
        <v>2</v>
      </c>
      <c r="B5335" s="7" t="s">
        <v>1254</v>
      </c>
      <c r="C5335" s="9"/>
      <c r="D5335" s="38"/>
      <c r="E5335" s="38"/>
      <c r="F5335" s="38">
        <f>SUM(F5336:F5338)</f>
        <v>2.54699</v>
      </c>
    </row>
    <row r="5336" ht="15.4" customHeight="1" spans="1:6">
      <c r="A5336" s="7"/>
      <c r="B5336" s="336" t="s">
        <v>1399</v>
      </c>
      <c r="C5336" s="35" t="s">
        <v>863</v>
      </c>
      <c r="D5336" s="38">
        <v>4.66</v>
      </c>
      <c r="E5336" s="350">
        <v>0.034</v>
      </c>
      <c r="F5336" s="38">
        <f t="shared" si="294"/>
        <v>0.15844</v>
      </c>
    </row>
    <row r="5337" ht="15.4" customHeight="1" spans="1:6">
      <c r="A5337" s="7"/>
      <c r="B5337" s="336" t="s">
        <v>1400</v>
      </c>
      <c r="C5337" s="35" t="s">
        <v>863</v>
      </c>
      <c r="D5337" s="38">
        <v>50</v>
      </c>
      <c r="E5337" s="350">
        <v>0.002</v>
      </c>
      <c r="F5337" s="38">
        <f t="shared" si="294"/>
        <v>0.1</v>
      </c>
    </row>
    <row r="5338" ht="15.4" customHeight="1" spans="1:6">
      <c r="A5338" s="7"/>
      <c r="B5338" s="336" t="s">
        <v>913</v>
      </c>
      <c r="C5338" s="39" t="s">
        <v>1320</v>
      </c>
      <c r="D5338" s="351">
        <v>10.45</v>
      </c>
      <c r="E5338" s="38">
        <v>0.219</v>
      </c>
      <c r="F5338" s="38">
        <f t="shared" si="294"/>
        <v>2.28855</v>
      </c>
    </row>
    <row r="5339" ht="15.4" customHeight="1" spans="1:6">
      <c r="A5339" s="7">
        <v>3</v>
      </c>
      <c r="B5339" s="7" t="s">
        <v>843</v>
      </c>
      <c r="C5339" s="9"/>
      <c r="D5339" s="38"/>
      <c r="E5339" s="38"/>
      <c r="F5339" s="38">
        <f>F5340</f>
        <v>0.09061</v>
      </c>
    </row>
    <row r="5340" ht="15.4" customHeight="1" spans="1:6">
      <c r="A5340" s="7"/>
      <c r="B5340" s="7" t="s">
        <v>1401</v>
      </c>
      <c r="C5340" s="7" t="s">
        <v>428</v>
      </c>
      <c r="D5340" s="38">
        <f>362.44/8</f>
        <v>45.305</v>
      </c>
      <c r="E5340" s="350">
        <v>0.002</v>
      </c>
      <c r="F5340" s="38">
        <f>D5340*E5340</f>
        <v>0.09061</v>
      </c>
    </row>
    <row r="5341" ht="15.4" customHeight="1" spans="1:6">
      <c r="A5341" s="7" t="s">
        <v>564</v>
      </c>
      <c r="B5341" s="7" t="s">
        <v>846</v>
      </c>
      <c r="C5341" s="230">
        <f t="shared" ref="C5341:C5344" si="295">C5319</f>
        <v>0.048</v>
      </c>
      <c r="D5341" s="38"/>
      <c r="E5341" s="38">
        <f>F5331</f>
        <v>4.89496</v>
      </c>
      <c r="F5341" s="38">
        <f t="shared" ref="F5341:F5344" si="296">E5341*C5341</f>
        <v>0.23495808</v>
      </c>
    </row>
    <row r="5342" ht="15.4" customHeight="1" spans="1:6">
      <c r="A5342" s="7" t="s">
        <v>439</v>
      </c>
      <c r="B5342" s="7" t="s">
        <v>847</v>
      </c>
      <c r="C5342" s="230">
        <f t="shared" si="295"/>
        <v>0.0725</v>
      </c>
      <c r="D5342" s="38"/>
      <c r="E5342" s="38">
        <f>F5330</f>
        <v>5.12991808</v>
      </c>
      <c r="F5342" s="38">
        <f t="shared" si="296"/>
        <v>0.3719190608</v>
      </c>
    </row>
    <row r="5343" ht="15.4" customHeight="1" spans="1:6">
      <c r="A5343" s="7" t="s">
        <v>83</v>
      </c>
      <c r="B5343" s="7" t="s">
        <v>848</v>
      </c>
      <c r="C5343" s="230">
        <f t="shared" si="295"/>
        <v>0.05</v>
      </c>
      <c r="D5343" s="38"/>
      <c r="E5343" s="38">
        <f>F5342+F5330</f>
        <v>5.5018371408</v>
      </c>
      <c r="F5343" s="38">
        <f t="shared" si="296"/>
        <v>0.27509185704</v>
      </c>
    </row>
    <row r="5344" ht="15.4" customHeight="1" spans="1:6">
      <c r="A5344" s="7" t="s">
        <v>135</v>
      </c>
      <c r="B5344" s="7" t="s">
        <v>849</v>
      </c>
      <c r="C5344" s="231">
        <f t="shared" si="295"/>
        <v>0.09</v>
      </c>
      <c r="D5344" s="38"/>
      <c r="E5344" s="34">
        <f>F5343+F5342+F5330</f>
        <v>5.77692899784</v>
      </c>
      <c r="F5344" s="38">
        <f t="shared" si="296"/>
        <v>0.5199236098056</v>
      </c>
    </row>
    <row r="5345" ht="15.4" customHeight="1" spans="1:9">
      <c r="A5345" s="7"/>
      <c r="B5345" s="7" t="s">
        <v>850</v>
      </c>
      <c r="C5345" s="231"/>
      <c r="D5345" s="38"/>
      <c r="E5345" s="34"/>
      <c r="F5345" s="38">
        <f>(E5344+F5344)*取费表!H12</f>
        <v>0.188905578229368</v>
      </c>
      <c r="H5345" s="223">
        <f>1.06</f>
        <v>1.06</v>
      </c>
      <c r="I5345" s="223">
        <f>1+2*0.7+3*0.4+4*0.3</f>
        <v>4.8</v>
      </c>
    </row>
    <row r="5346" ht="15.4" customHeight="1" spans="1:6">
      <c r="A5346" s="7"/>
      <c r="B5346" s="7" t="s">
        <v>156</v>
      </c>
      <c r="C5346" s="7"/>
      <c r="D5346" s="38"/>
      <c r="E5346" s="38"/>
      <c r="F5346" s="351">
        <f>F5344+E5344+F5345</f>
        <v>6.48575818587497</v>
      </c>
    </row>
    <row r="5347" ht="16.15" customHeight="1" spans="1:8">
      <c r="A5347" s="224" t="s">
        <v>828</v>
      </c>
      <c r="B5347" s="225"/>
      <c r="C5347" s="225"/>
      <c r="D5347" s="225"/>
      <c r="E5347" s="225"/>
      <c r="F5347" s="225"/>
      <c r="H5347" s="223">
        <f>H5345*I5345</f>
        <v>5.088</v>
      </c>
    </row>
    <row r="5348" ht="16.15" customHeight="1" spans="1:6">
      <c r="A5348" s="296" t="s">
        <v>1408</v>
      </c>
      <c r="B5348" s="296"/>
      <c r="C5348" s="296"/>
      <c r="D5348" s="296"/>
      <c r="E5348" s="296"/>
      <c r="F5348" s="296"/>
    </row>
    <row r="5349" ht="16.15" customHeight="1" spans="1:6">
      <c r="A5349" s="227" t="s">
        <v>1409</v>
      </c>
      <c r="B5349" s="228"/>
      <c r="C5349" s="229"/>
      <c r="D5349" s="229"/>
      <c r="E5349" s="228" t="s">
        <v>1410</v>
      </c>
      <c r="F5349" s="228"/>
    </row>
    <row r="5350" ht="16.15" customHeight="1" spans="1:6">
      <c r="A5350" s="232" t="s">
        <v>911</v>
      </c>
      <c r="B5350" s="233"/>
      <c r="C5350" s="233"/>
      <c r="D5350" s="233"/>
      <c r="E5350" s="233"/>
      <c r="F5350" s="147"/>
    </row>
    <row r="5351" ht="16.15" customHeight="1" spans="1:6">
      <c r="A5351" s="7" t="s">
        <v>104</v>
      </c>
      <c r="B5351" s="7" t="s">
        <v>835</v>
      </c>
      <c r="C5351" s="7" t="s">
        <v>159</v>
      </c>
      <c r="D5351" s="7" t="s">
        <v>422</v>
      </c>
      <c r="E5351" s="7" t="s">
        <v>160</v>
      </c>
      <c r="F5351" s="7" t="s">
        <v>18</v>
      </c>
    </row>
    <row r="5352" ht="16.15" customHeight="1" spans="1:6">
      <c r="A5352" s="7" t="s">
        <v>836</v>
      </c>
      <c r="B5352" s="7" t="s">
        <v>837</v>
      </c>
      <c r="C5352" s="7"/>
      <c r="D5352" s="7"/>
      <c r="E5352" s="7"/>
      <c r="F5352" s="34">
        <f>F5353+F5363</f>
        <v>70.93924576</v>
      </c>
    </row>
    <row r="5353" ht="16.15" customHeight="1" spans="1:6">
      <c r="A5353" s="7" t="s">
        <v>539</v>
      </c>
      <c r="B5353" s="7" t="s">
        <v>838</v>
      </c>
      <c r="C5353" s="7"/>
      <c r="D5353" s="7"/>
      <c r="E5353" s="7"/>
      <c r="F5353" s="34">
        <f>F5354+F5357+F5361</f>
        <v>67.69012</v>
      </c>
    </row>
    <row r="5354" ht="16.15" customHeight="1" spans="1:6">
      <c r="A5354" s="7">
        <v>1</v>
      </c>
      <c r="B5354" s="7" t="s">
        <v>839</v>
      </c>
      <c r="C5354" s="7" t="s">
        <v>840</v>
      </c>
      <c r="D5354" s="69"/>
      <c r="E5354" s="42">
        <f>SUM(E5355:E5356)</f>
        <v>5.12</v>
      </c>
      <c r="F5354" s="69">
        <f>SUM(F5355:F5356)</f>
        <v>37.89312</v>
      </c>
    </row>
    <row r="5355" ht="16.15" customHeight="1" spans="1:6">
      <c r="A5355" s="7"/>
      <c r="B5355" s="7" t="s">
        <v>841</v>
      </c>
      <c r="C5355" s="7" t="s">
        <v>840</v>
      </c>
      <c r="D5355" s="69">
        <f t="shared" ref="D5355:D5360" si="297">D5333</f>
        <v>8.1</v>
      </c>
      <c r="E5355" s="42">
        <f>(0.384+0.064)*8</f>
        <v>3.584</v>
      </c>
      <c r="F5355" s="69">
        <f t="shared" ref="F5355:F5360" si="298">D5355*E5355</f>
        <v>29.0304</v>
      </c>
    </row>
    <row r="5356" ht="16.15" customHeight="1" spans="1:6">
      <c r="A5356" s="7"/>
      <c r="B5356" s="7" t="s">
        <v>842</v>
      </c>
      <c r="C5356" s="7" t="s">
        <v>840</v>
      </c>
      <c r="D5356" s="69">
        <f t="shared" si="297"/>
        <v>5.77</v>
      </c>
      <c r="E5356" s="42">
        <f>0.192*8</f>
        <v>1.536</v>
      </c>
      <c r="F5356" s="69">
        <f t="shared" si="298"/>
        <v>8.86272</v>
      </c>
    </row>
    <row r="5357" ht="16.15" customHeight="1" spans="1:6">
      <c r="A5357" s="7">
        <v>2</v>
      </c>
      <c r="B5357" s="7" t="s">
        <v>1254</v>
      </c>
      <c r="C5357" s="9"/>
      <c r="D5357" s="38"/>
      <c r="E5357" s="38"/>
      <c r="F5357" s="38">
        <f>SUM(F5358:F5360)</f>
        <v>18.9238</v>
      </c>
    </row>
    <row r="5358" ht="16.15" customHeight="1" spans="1:6">
      <c r="A5358" s="7"/>
      <c r="B5358" s="336" t="s">
        <v>1399</v>
      </c>
      <c r="C5358" s="35" t="s">
        <v>863</v>
      </c>
      <c r="D5358" s="38">
        <v>4.66</v>
      </c>
      <c r="E5358" s="350">
        <v>0.18</v>
      </c>
      <c r="F5358" s="38">
        <f t="shared" si="298"/>
        <v>0.8388</v>
      </c>
    </row>
    <row r="5359" ht="16.15" customHeight="1" spans="1:6">
      <c r="A5359" s="7"/>
      <c r="B5359" s="336" t="s">
        <v>1400</v>
      </c>
      <c r="C5359" s="35" t="s">
        <v>863</v>
      </c>
      <c r="D5359" s="38">
        <v>50</v>
      </c>
      <c r="E5359" s="350">
        <v>0.09</v>
      </c>
      <c r="F5359" s="38">
        <f t="shared" si="298"/>
        <v>4.5</v>
      </c>
    </row>
    <row r="5360" ht="16.15" customHeight="1" spans="1:6">
      <c r="A5360" s="7"/>
      <c r="B5360" s="336" t="s">
        <v>913</v>
      </c>
      <c r="C5360" s="39" t="s">
        <v>1320</v>
      </c>
      <c r="D5360" s="38">
        <f t="shared" si="297"/>
        <v>10.45</v>
      </c>
      <c r="E5360" s="38">
        <v>1.3</v>
      </c>
      <c r="F5360" s="38">
        <f t="shared" si="298"/>
        <v>13.585</v>
      </c>
    </row>
    <row r="5361" ht="16.15" customHeight="1" spans="1:6">
      <c r="A5361" s="7">
        <v>3</v>
      </c>
      <c r="B5361" s="7" t="s">
        <v>843</v>
      </c>
      <c r="C5361" s="9"/>
      <c r="D5361" s="38"/>
      <c r="E5361" s="38"/>
      <c r="F5361" s="38">
        <f>F5362</f>
        <v>10.8732</v>
      </c>
    </row>
    <row r="5362" ht="16.15" customHeight="1" spans="1:6">
      <c r="A5362" s="7"/>
      <c r="B5362" s="7" t="s">
        <v>1401</v>
      </c>
      <c r="C5362" s="7" t="s">
        <v>428</v>
      </c>
      <c r="D5362" s="38">
        <f>362.44</f>
        <v>362.44</v>
      </c>
      <c r="E5362" s="350">
        <v>0.03</v>
      </c>
      <c r="F5362" s="38">
        <f>D5362*E5362</f>
        <v>10.8732</v>
      </c>
    </row>
    <row r="5363" ht="16.15" customHeight="1" spans="1:6">
      <c r="A5363" s="7" t="s">
        <v>564</v>
      </c>
      <c r="B5363" s="7" t="s">
        <v>846</v>
      </c>
      <c r="C5363" s="230">
        <f t="shared" ref="C5363:C5366" si="299">C5341</f>
        <v>0.048</v>
      </c>
      <c r="D5363" s="38"/>
      <c r="E5363" s="38">
        <f>F5353</f>
        <v>67.69012</v>
      </c>
      <c r="F5363" s="38">
        <f t="shared" ref="F5363:F5366" si="300">E5363*C5363</f>
        <v>3.24912576</v>
      </c>
    </row>
    <row r="5364" ht="16.15" customHeight="1" spans="1:6">
      <c r="A5364" s="7" t="s">
        <v>439</v>
      </c>
      <c r="B5364" s="7" t="s">
        <v>847</v>
      </c>
      <c r="C5364" s="230">
        <f t="shared" si="299"/>
        <v>0.0725</v>
      </c>
      <c r="D5364" s="38"/>
      <c r="E5364" s="38">
        <f>F5352</f>
        <v>70.93924576</v>
      </c>
      <c r="F5364" s="38">
        <f t="shared" si="300"/>
        <v>5.1430953176</v>
      </c>
    </row>
    <row r="5365" ht="16.15" customHeight="1" spans="1:6">
      <c r="A5365" s="7" t="s">
        <v>83</v>
      </c>
      <c r="B5365" s="7" t="s">
        <v>848</v>
      </c>
      <c r="C5365" s="230">
        <f t="shared" si="299"/>
        <v>0.05</v>
      </c>
      <c r="D5365" s="38"/>
      <c r="E5365" s="38">
        <f>F5364+F5352</f>
        <v>76.0823410776</v>
      </c>
      <c r="F5365" s="38">
        <f t="shared" si="300"/>
        <v>3.80411705388</v>
      </c>
    </row>
    <row r="5366" ht="16.15" customHeight="1" spans="1:6">
      <c r="A5366" s="7" t="s">
        <v>135</v>
      </c>
      <c r="B5366" s="7" t="s">
        <v>849</v>
      </c>
      <c r="C5366" s="231">
        <f t="shared" si="299"/>
        <v>0.09</v>
      </c>
      <c r="D5366" s="38"/>
      <c r="E5366" s="34">
        <f>F5365+F5364+F5352</f>
        <v>79.88645813148</v>
      </c>
      <c r="F5366" s="38">
        <f t="shared" si="300"/>
        <v>7.1897812318332</v>
      </c>
    </row>
    <row r="5367" ht="16.15" customHeight="1" spans="1:6">
      <c r="A5367" s="7"/>
      <c r="B5367" s="7" t="s">
        <v>850</v>
      </c>
      <c r="C5367" s="231"/>
      <c r="D5367" s="38"/>
      <c r="E5367" s="34"/>
      <c r="F5367" s="38">
        <f>(E5366+F5366)*取费表!H12</f>
        <v>2.6122871808994</v>
      </c>
    </row>
    <row r="5368" ht="16.15" customHeight="1" spans="1:6">
      <c r="A5368" s="7"/>
      <c r="B5368" s="7" t="s">
        <v>156</v>
      </c>
      <c r="C5368" s="7"/>
      <c r="D5368" s="38"/>
      <c r="E5368" s="38"/>
      <c r="F5368" s="38">
        <f>F5366+E5366+F5367</f>
        <v>89.6885265442126</v>
      </c>
    </row>
    <row r="5369" ht="16.15" customHeight="1" spans="1:6">
      <c r="A5369" s="224" t="s">
        <v>828</v>
      </c>
      <c r="B5369" s="225"/>
      <c r="C5369" s="225"/>
      <c r="D5369" s="225"/>
      <c r="E5369" s="225"/>
      <c r="F5369" s="225"/>
    </row>
    <row r="5370" ht="16.15" customHeight="1" spans="1:6">
      <c r="A5370" s="296" t="s">
        <v>1411</v>
      </c>
      <c r="B5370" s="296"/>
      <c r="C5370" s="296"/>
      <c r="D5370" s="296"/>
      <c r="E5370" s="296"/>
      <c r="F5370" s="296"/>
    </row>
    <row r="5371" ht="16.15" customHeight="1" spans="1:6">
      <c r="A5371" s="227" t="s">
        <v>1412</v>
      </c>
      <c r="B5371" s="228"/>
      <c r="C5371" s="229"/>
      <c r="D5371" s="229"/>
      <c r="E5371" s="228" t="s">
        <v>1410</v>
      </c>
      <c r="F5371" s="228"/>
    </row>
    <row r="5372" ht="16.15" customHeight="1" spans="1:6">
      <c r="A5372" s="232" t="s">
        <v>911</v>
      </c>
      <c r="B5372" s="233"/>
      <c r="C5372" s="233"/>
      <c r="D5372" s="233"/>
      <c r="E5372" s="233"/>
      <c r="F5372" s="147"/>
    </row>
    <row r="5373" ht="16.15" customHeight="1" spans="1:6">
      <c r="A5373" s="7" t="s">
        <v>104</v>
      </c>
      <c r="B5373" s="7" t="s">
        <v>835</v>
      </c>
      <c r="C5373" s="7" t="s">
        <v>159</v>
      </c>
      <c r="D5373" s="7" t="s">
        <v>422</v>
      </c>
      <c r="E5373" s="7" t="s">
        <v>160</v>
      </c>
      <c r="F5373" s="7" t="s">
        <v>18</v>
      </c>
    </row>
    <row r="5374" ht="16.15" customHeight="1" spans="1:6">
      <c r="A5374" s="7" t="s">
        <v>836</v>
      </c>
      <c r="B5374" s="7" t="s">
        <v>837</v>
      </c>
      <c r="C5374" s="7"/>
      <c r="D5374" s="7"/>
      <c r="E5374" s="7"/>
      <c r="F5374" s="34">
        <f>F5375+F5384</f>
        <v>50.05671392</v>
      </c>
    </row>
    <row r="5375" ht="16.15" customHeight="1" spans="1:6">
      <c r="A5375" s="7" t="s">
        <v>539</v>
      </c>
      <c r="B5375" s="7" t="s">
        <v>838</v>
      </c>
      <c r="C5375" s="7"/>
      <c r="D5375" s="7"/>
      <c r="E5375" s="7"/>
      <c r="F5375" s="34">
        <f>F5376+F5379+F5382</f>
        <v>47.76404</v>
      </c>
    </row>
    <row r="5376" ht="16.15" customHeight="1" spans="1:6">
      <c r="A5376" s="7">
        <v>1</v>
      </c>
      <c r="B5376" s="7" t="s">
        <v>839</v>
      </c>
      <c r="C5376" s="7" t="s">
        <v>840</v>
      </c>
      <c r="D5376" s="69"/>
      <c r="E5376" s="42">
        <f>SUM(E5377:E5378)</f>
        <v>5.76</v>
      </c>
      <c r="F5376" s="69">
        <f>SUM(F5377:F5378)</f>
        <v>42.62976</v>
      </c>
    </row>
    <row r="5377" ht="16.15" customHeight="1" spans="1:6">
      <c r="A5377" s="7"/>
      <c r="B5377" s="7" t="s">
        <v>841</v>
      </c>
      <c r="C5377" s="7" t="s">
        <v>840</v>
      </c>
      <c r="D5377" s="69">
        <f>D5355</f>
        <v>8.1</v>
      </c>
      <c r="E5377" s="42">
        <f>(0.432+0.072)*8</f>
        <v>4.032</v>
      </c>
      <c r="F5377" s="69">
        <f>D5377*E5377</f>
        <v>32.6592</v>
      </c>
    </row>
    <row r="5378" ht="16.15" customHeight="1" spans="1:6">
      <c r="A5378" s="7"/>
      <c r="B5378" s="7" t="s">
        <v>842</v>
      </c>
      <c r="C5378" s="7" t="s">
        <v>840</v>
      </c>
      <c r="D5378" s="69">
        <f>D5356</f>
        <v>5.77</v>
      </c>
      <c r="E5378" s="42">
        <f>0.216*8</f>
        <v>1.728</v>
      </c>
      <c r="F5378" s="69">
        <f>D5378*E5378</f>
        <v>9.97056</v>
      </c>
    </row>
    <row r="5379" ht="16.15" customHeight="1" spans="1:6">
      <c r="A5379" s="7">
        <v>2</v>
      </c>
      <c r="B5379" s="7" t="s">
        <v>1254</v>
      </c>
      <c r="C5379" s="9"/>
      <c r="D5379" s="38"/>
      <c r="E5379" s="38"/>
      <c r="F5379" s="38">
        <f>SUM(F5380:F5381)</f>
        <v>0.60378</v>
      </c>
    </row>
    <row r="5380" ht="16.15" customHeight="1" spans="1:6">
      <c r="A5380" s="7"/>
      <c r="B5380" s="336" t="s">
        <v>1399</v>
      </c>
      <c r="C5380" s="35" t="s">
        <v>863</v>
      </c>
      <c r="D5380" s="38">
        <v>4.66</v>
      </c>
      <c r="E5380" s="350">
        <v>0.033</v>
      </c>
      <c r="F5380" s="38">
        <f>D5380*E5380</f>
        <v>0.15378</v>
      </c>
    </row>
    <row r="5381" ht="16.15" customHeight="1" spans="1:6">
      <c r="A5381" s="7"/>
      <c r="B5381" s="336" t="s">
        <v>1400</v>
      </c>
      <c r="C5381" s="35" t="s">
        <v>863</v>
      </c>
      <c r="D5381" s="38">
        <v>50</v>
      </c>
      <c r="E5381" s="350">
        <v>0.009</v>
      </c>
      <c r="F5381" s="38">
        <f>D5381*E5381</f>
        <v>0.45</v>
      </c>
    </row>
    <row r="5382" ht="16.15" customHeight="1" spans="1:6">
      <c r="A5382" s="7">
        <v>3</v>
      </c>
      <c r="B5382" s="7" t="s">
        <v>843</v>
      </c>
      <c r="C5382" s="9"/>
      <c r="D5382" s="38"/>
      <c r="E5382" s="38"/>
      <c r="F5382" s="38">
        <f>F5383</f>
        <v>4.5305</v>
      </c>
    </row>
    <row r="5383" ht="16.15" customHeight="1" spans="1:6">
      <c r="A5383" s="7"/>
      <c r="B5383" s="7" t="s">
        <v>1401</v>
      </c>
      <c r="C5383" s="7" t="s">
        <v>428</v>
      </c>
      <c r="D5383" s="38">
        <f>362.44/8</f>
        <v>45.305</v>
      </c>
      <c r="E5383" s="350">
        <v>0.1</v>
      </c>
      <c r="F5383" s="38">
        <f>D5383*E5383</f>
        <v>4.5305</v>
      </c>
    </row>
    <row r="5384" ht="16.15" customHeight="1" spans="1:6">
      <c r="A5384" s="7" t="s">
        <v>564</v>
      </c>
      <c r="B5384" s="7" t="s">
        <v>846</v>
      </c>
      <c r="C5384" s="230">
        <f t="shared" ref="C5384:C5387" si="301">C5363</f>
        <v>0.048</v>
      </c>
      <c r="D5384" s="38"/>
      <c r="E5384" s="38">
        <f>F5375</f>
        <v>47.76404</v>
      </c>
      <c r="F5384" s="38">
        <f t="shared" ref="F5384:F5387" si="302">E5384*C5384</f>
        <v>2.29267392</v>
      </c>
    </row>
    <row r="5385" ht="16.15" customHeight="1" spans="1:6">
      <c r="A5385" s="7" t="s">
        <v>439</v>
      </c>
      <c r="B5385" s="7" t="s">
        <v>847</v>
      </c>
      <c r="C5385" s="230">
        <f t="shared" si="301"/>
        <v>0.0725</v>
      </c>
      <c r="D5385" s="38"/>
      <c r="E5385" s="38">
        <f>F5374</f>
        <v>50.05671392</v>
      </c>
      <c r="F5385" s="38">
        <f t="shared" si="302"/>
        <v>3.6291117592</v>
      </c>
    </row>
    <row r="5386" ht="16.15" customHeight="1" spans="1:6">
      <c r="A5386" s="7" t="s">
        <v>83</v>
      </c>
      <c r="B5386" s="7" t="s">
        <v>848</v>
      </c>
      <c r="C5386" s="230">
        <f t="shared" si="301"/>
        <v>0.05</v>
      </c>
      <c r="D5386" s="38"/>
      <c r="E5386" s="38">
        <f>F5385+F5374</f>
        <v>53.6858256792</v>
      </c>
      <c r="F5386" s="38">
        <f t="shared" si="302"/>
        <v>2.68429128396</v>
      </c>
    </row>
    <row r="5387" ht="16.15" customHeight="1" spans="1:6">
      <c r="A5387" s="7" t="s">
        <v>135</v>
      </c>
      <c r="B5387" s="7" t="s">
        <v>849</v>
      </c>
      <c r="C5387" s="231">
        <f t="shared" si="301"/>
        <v>0.09</v>
      </c>
      <c r="D5387" s="38"/>
      <c r="E5387" s="34">
        <f>F5386+F5385+F5374</f>
        <v>56.37011696316</v>
      </c>
      <c r="F5387" s="38">
        <f t="shared" si="302"/>
        <v>5.0733105266844</v>
      </c>
    </row>
    <row r="5388" ht="16.15" customHeight="1" spans="1:6">
      <c r="A5388" s="7"/>
      <c r="B5388" s="7" t="s">
        <v>850</v>
      </c>
      <c r="C5388" s="231"/>
      <c r="D5388" s="38"/>
      <c r="E5388" s="34"/>
      <c r="F5388" s="38">
        <f>(E5387+F5387)*取费表!H12</f>
        <v>1.84330282469533</v>
      </c>
    </row>
    <row r="5389" ht="16.15" customHeight="1" spans="1:6">
      <c r="A5389" s="7"/>
      <c r="B5389" s="7" t="s">
        <v>156</v>
      </c>
      <c r="C5389" s="7"/>
      <c r="D5389" s="38"/>
      <c r="E5389" s="38"/>
      <c r="F5389" s="38">
        <f>F5387+E5387+F5388</f>
        <v>63.2867303145397</v>
      </c>
    </row>
    <row r="5390" customHeight="1" spans="1:6">
      <c r="A5390" s="352" t="s">
        <v>828</v>
      </c>
      <c r="B5390" s="353"/>
      <c r="C5390" s="353"/>
      <c r="D5390" s="353"/>
      <c r="E5390" s="353"/>
      <c r="F5390" s="353"/>
    </row>
    <row r="5391" customHeight="1" spans="1:6">
      <c r="A5391" s="296" t="s">
        <v>1413</v>
      </c>
      <c r="B5391" s="296"/>
      <c r="C5391" s="296"/>
      <c r="D5391" s="296"/>
      <c r="E5391" s="296"/>
      <c r="F5391" s="296"/>
    </row>
    <row r="5392" customHeight="1" spans="1:6">
      <c r="A5392" s="227" t="s">
        <v>1414</v>
      </c>
      <c r="B5392" s="228"/>
      <c r="C5392" s="229"/>
      <c r="D5392" s="229"/>
      <c r="E5392" s="228" t="s">
        <v>857</v>
      </c>
      <c r="F5392" s="228"/>
    </row>
    <row r="5393" customHeight="1" spans="1:6">
      <c r="A5393" s="232" t="s">
        <v>911</v>
      </c>
      <c r="B5393" s="233"/>
      <c r="C5393" s="233"/>
      <c r="D5393" s="233"/>
      <c r="E5393" s="233"/>
      <c r="F5393" s="147"/>
    </row>
    <row r="5394" customHeight="1" spans="1:6">
      <c r="A5394" s="7" t="s">
        <v>104</v>
      </c>
      <c r="B5394" s="7" t="s">
        <v>835</v>
      </c>
      <c r="C5394" s="7" t="s">
        <v>159</v>
      </c>
      <c r="D5394" s="7" t="s">
        <v>422</v>
      </c>
      <c r="E5394" s="7" t="s">
        <v>160</v>
      </c>
      <c r="F5394" s="7" t="s">
        <v>18</v>
      </c>
    </row>
    <row r="5395" customHeight="1" spans="1:6">
      <c r="A5395" s="7" t="s">
        <v>836</v>
      </c>
      <c r="B5395" s="7" t="s">
        <v>837</v>
      </c>
      <c r="C5395" s="7"/>
      <c r="D5395" s="7"/>
      <c r="E5395" s="7"/>
      <c r="F5395" s="34">
        <f>F5396+F5405</f>
        <v>814.63538432</v>
      </c>
    </row>
    <row r="5396" customHeight="1" spans="1:6">
      <c r="A5396" s="7" t="s">
        <v>539</v>
      </c>
      <c r="B5396" s="7" t="s">
        <v>838</v>
      </c>
      <c r="C5396" s="7"/>
      <c r="D5396" s="7"/>
      <c r="E5396" s="7"/>
      <c r="F5396" s="34">
        <f>F5397+F5400+F5404</f>
        <v>777.32384</v>
      </c>
    </row>
    <row r="5397" customHeight="1" spans="1:6">
      <c r="A5397" s="7">
        <v>1</v>
      </c>
      <c r="B5397" s="7" t="s">
        <v>839</v>
      </c>
      <c r="C5397" s="7" t="s">
        <v>840</v>
      </c>
      <c r="D5397" s="69"/>
      <c r="E5397" s="42">
        <f>SUM(E5398:E5399)</f>
        <v>14.368</v>
      </c>
      <c r="F5397" s="69">
        <f>SUM(F5398:F5399)</f>
        <v>106.33384</v>
      </c>
    </row>
    <row r="5398" customHeight="1" spans="1:6">
      <c r="A5398" s="7"/>
      <c r="B5398" s="7" t="s">
        <v>841</v>
      </c>
      <c r="C5398" s="7" t="s">
        <v>840</v>
      </c>
      <c r="D5398" s="69">
        <f>D5377</f>
        <v>8.1</v>
      </c>
      <c r="E5398" s="42">
        <f>1.257*8</f>
        <v>10.056</v>
      </c>
      <c r="F5398" s="69">
        <f t="shared" ref="F5398:F5403" si="303">D5398*E5398</f>
        <v>81.4536</v>
      </c>
    </row>
    <row r="5399" customHeight="1" spans="1:6">
      <c r="A5399" s="7"/>
      <c r="B5399" s="7" t="s">
        <v>842</v>
      </c>
      <c r="C5399" s="7" t="s">
        <v>840</v>
      </c>
      <c r="D5399" s="69">
        <f>D5378</f>
        <v>5.77</v>
      </c>
      <c r="E5399" s="42">
        <f>0.539*8</f>
        <v>4.312</v>
      </c>
      <c r="F5399" s="69">
        <f t="shared" si="303"/>
        <v>24.88024</v>
      </c>
    </row>
    <row r="5400" customHeight="1" spans="1:6">
      <c r="A5400" s="7">
        <v>2</v>
      </c>
      <c r="B5400" s="7" t="s">
        <v>1254</v>
      </c>
      <c r="C5400" s="9"/>
      <c r="D5400" s="38"/>
      <c r="E5400" s="38"/>
      <c r="F5400" s="38">
        <f>SUM(F5401:F5403)</f>
        <v>670.99</v>
      </c>
    </row>
    <row r="5401" customHeight="1" spans="1:6">
      <c r="A5401" s="7"/>
      <c r="B5401" s="273" t="s">
        <v>1415</v>
      </c>
      <c r="C5401" s="9" t="s">
        <v>825</v>
      </c>
      <c r="D5401" s="38">
        <v>5.5</v>
      </c>
      <c r="E5401" s="38">
        <v>110</v>
      </c>
      <c r="F5401" s="38">
        <f t="shared" si="303"/>
        <v>605</v>
      </c>
    </row>
    <row r="5402" customHeight="1" spans="1:6">
      <c r="A5402" s="7"/>
      <c r="B5402" s="336" t="s">
        <v>1416</v>
      </c>
      <c r="C5402" s="35" t="s">
        <v>863</v>
      </c>
      <c r="D5402" s="38">
        <v>26</v>
      </c>
      <c r="E5402" s="38">
        <v>2.4</v>
      </c>
      <c r="F5402" s="38">
        <f t="shared" si="303"/>
        <v>62.4</v>
      </c>
    </row>
    <row r="5403" customHeight="1" spans="1:6">
      <c r="A5403" s="7"/>
      <c r="B5403" s="336" t="s">
        <v>913</v>
      </c>
      <c r="C5403" s="35" t="s">
        <v>341</v>
      </c>
      <c r="D5403" s="38">
        <f>材料预算价!K13</f>
        <v>3.59</v>
      </c>
      <c r="E5403" s="38">
        <v>1</v>
      </c>
      <c r="F5403" s="38">
        <f t="shared" si="303"/>
        <v>3.59</v>
      </c>
    </row>
    <row r="5404" customHeight="1" spans="1:6">
      <c r="A5404" s="7">
        <v>3</v>
      </c>
      <c r="B5404" s="7" t="s">
        <v>843</v>
      </c>
      <c r="C5404" s="9"/>
      <c r="D5404" s="38"/>
      <c r="E5404" s="38"/>
      <c r="F5404" s="38"/>
    </row>
    <row r="5405" customHeight="1" spans="1:6">
      <c r="A5405" s="7" t="s">
        <v>564</v>
      </c>
      <c r="B5405" s="7" t="s">
        <v>846</v>
      </c>
      <c r="C5405" s="230">
        <f t="shared" ref="C5405:C5408" si="304">C5384</f>
        <v>0.048</v>
      </c>
      <c r="D5405" s="38"/>
      <c r="E5405" s="38">
        <f>F5396</f>
        <v>777.32384</v>
      </c>
      <c r="F5405" s="38">
        <f t="shared" ref="F5405:F5408" si="305">E5405*C5405</f>
        <v>37.31154432</v>
      </c>
    </row>
    <row r="5406" customHeight="1" spans="1:6">
      <c r="A5406" s="7" t="s">
        <v>439</v>
      </c>
      <c r="B5406" s="7" t="s">
        <v>847</v>
      </c>
      <c r="C5406" s="230">
        <f t="shared" si="304"/>
        <v>0.0725</v>
      </c>
      <c r="D5406" s="38"/>
      <c r="E5406" s="38">
        <f>F5395</f>
        <v>814.63538432</v>
      </c>
      <c r="F5406" s="38">
        <f t="shared" si="305"/>
        <v>59.0610653632</v>
      </c>
    </row>
    <row r="5407" customHeight="1" spans="1:6">
      <c r="A5407" s="7" t="s">
        <v>83</v>
      </c>
      <c r="B5407" s="7" t="s">
        <v>848</v>
      </c>
      <c r="C5407" s="230">
        <f t="shared" si="304"/>
        <v>0.05</v>
      </c>
      <c r="D5407" s="38"/>
      <c r="E5407" s="38">
        <f>F5406+F5395</f>
        <v>873.6964496832</v>
      </c>
      <c r="F5407" s="38">
        <f t="shared" si="305"/>
        <v>43.68482248416</v>
      </c>
    </row>
    <row r="5408" customHeight="1" spans="1:6">
      <c r="A5408" s="7" t="s">
        <v>135</v>
      </c>
      <c r="B5408" s="7" t="s">
        <v>849</v>
      </c>
      <c r="C5408" s="231">
        <f t="shared" si="304"/>
        <v>0.09</v>
      </c>
      <c r="D5408" s="38"/>
      <c r="E5408" s="34">
        <f>F5407+F5406+F5395</f>
        <v>917.38127216736</v>
      </c>
      <c r="F5408" s="38">
        <f t="shared" si="305"/>
        <v>82.5643144950624</v>
      </c>
    </row>
    <row r="5409" customHeight="1" spans="1:6">
      <c r="A5409" s="7"/>
      <c r="B5409" s="7" t="s">
        <v>850</v>
      </c>
      <c r="C5409" s="231"/>
      <c r="D5409" s="38"/>
      <c r="E5409" s="34"/>
      <c r="F5409" s="38">
        <f>(E5408+F5408)*取费表!H12</f>
        <v>29.9983675998727</v>
      </c>
    </row>
    <row r="5410" customHeight="1" spans="1:6">
      <c r="A5410" s="7"/>
      <c r="B5410" s="7" t="s">
        <v>156</v>
      </c>
      <c r="C5410" s="7"/>
      <c r="D5410" s="38"/>
      <c r="E5410" s="38"/>
      <c r="F5410" s="38">
        <f>F5408+E5408+F5409</f>
        <v>1029.94395426229</v>
      </c>
    </row>
    <row r="5411" customHeight="1" spans="1:6">
      <c r="A5411" s="229"/>
      <c r="B5411" s="229"/>
      <c r="C5411" s="229"/>
      <c r="D5411" s="349"/>
      <c r="E5411" s="349"/>
      <c r="F5411" s="349"/>
    </row>
    <row r="5412" customHeight="1" spans="1:12">
      <c r="A5412" s="224" t="s">
        <v>828</v>
      </c>
      <c r="B5412" s="225"/>
      <c r="C5412" s="225"/>
      <c r="D5412" s="225"/>
      <c r="E5412" s="225"/>
      <c r="F5412" s="225"/>
      <c r="G5412" s="224" t="s">
        <v>828</v>
      </c>
      <c r="H5412" s="225"/>
      <c r="I5412" s="225"/>
      <c r="J5412" s="225"/>
      <c r="K5412" s="225"/>
      <c r="L5412" s="225"/>
    </row>
    <row r="5413" customHeight="1" spans="1:12">
      <c r="A5413" s="296" t="s">
        <v>1413</v>
      </c>
      <c r="B5413" s="296"/>
      <c r="C5413" s="296"/>
      <c r="D5413" s="296"/>
      <c r="E5413" s="296"/>
      <c r="F5413" s="296"/>
      <c r="G5413" s="296" t="s">
        <v>1413</v>
      </c>
      <c r="H5413" s="296"/>
      <c r="I5413" s="296"/>
      <c r="J5413" s="296"/>
      <c r="K5413" s="296"/>
      <c r="L5413" s="296"/>
    </row>
    <row r="5414" customHeight="1" spans="1:12">
      <c r="A5414" s="227" t="s">
        <v>1414</v>
      </c>
      <c r="B5414" s="228"/>
      <c r="C5414" s="229"/>
      <c r="D5414" s="229"/>
      <c r="E5414" s="228" t="s">
        <v>857</v>
      </c>
      <c r="F5414" s="228"/>
      <c r="G5414" s="227" t="s">
        <v>1414</v>
      </c>
      <c r="H5414" s="228"/>
      <c r="I5414" s="229"/>
      <c r="J5414" s="229"/>
      <c r="K5414" s="228" t="s">
        <v>857</v>
      </c>
      <c r="L5414" s="228"/>
    </row>
    <row r="5415" customHeight="1" spans="1:12">
      <c r="A5415" s="232" t="s">
        <v>911</v>
      </c>
      <c r="B5415" s="233"/>
      <c r="C5415" s="233"/>
      <c r="D5415" s="233"/>
      <c r="E5415" s="233"/>
      <c r="F5415" s="147"/>
      <c r="G5415" s="232" t="s">
        <v>911</v>
      </c>
      <c r="H5415" s="233"/>
      <c r="I5415" s="233"/>
      <c r="J5415" s="233"/>
      <c r="K5415" s="233"/>
      <c r="L5415" s="147"/>
    </row>
    <row r="5416" customHeight="1" spans="1:12">
      <c r="A5416" s="7" t="s">
        <v>104</v>
      </c>
      <c r="B5416" s="7" t="s">
        <v>835</v>
      </c>
      <c r="C5416" s="7" t="s">
        <v>159</v>
      </c>
      <c r="D5416" s="7" t="s">
        <v>422</v>
      </c>
      <c r="E5416" s="7" t="s">
        <v>160</v>
      </c>
      <c r="F5416" s="7" t="s">
        <v>18</v>
      </c>
      <c r="G5416" s="7" t="s">
        <v>104</v>
      </c>
      <c r="H5416" s="7" t="s">
        <v>835</v>
      </c>
      <c r="I5416" s="7" t="s">
        <v>159</v>
      </c>
      <c r="J5416" s="7" t="s">
        <v>422</v>
      </c>
      <c r="K5416" s="7" t="s">
        <v>160</v>
      </c>
      <c r="L5416" s="7" t="s">
        <v>18</v>
      </c>
    </row>
    <row r="5417" customHeight="1" spans="1:12">
      <c r="A5417" s="7" t="s">
        <v>836</v>
      </c>
      <c r="B5417" s="7" t="s">
        <v>837</v>
      </c>
      <c r="C5417" s="7"/>
      <c r="D5417" s="7"/>
      <c r="E5417" s="7"/>
      <c r="F5417" s="34">
        <f>F5418+F5427</f>
        <v>180.59538432</v>
      </c>
      <c r="G5417" s="7" t="s">
        <v>836</v>
      </c>
      <c r="H5417" s="7" t="s">
        <v>837</v>
      </c>
      <c r="I5417" s="7"/>
      <c r="J5417" s="7"/>
      <c r="K5417" s="7"/>
      <c r="L5417" s="34">
        <f>L5418+L5427</f>
        <v>1426.55701971823</v>
      </c>
    </row>
    <row r="5418" customHeight="1" spans="1:12">
      <c r="A5418" s="7" t="s">
        <v>539</v>
      </c>
      <c r="B5418" s="7" t="s">
        <v>838</v>
      </c>
      <c r="C5418" s="7"/>
      <c r="D5418" s="7"/>
      <c r="E5418" s="7"/>
      <c r="F5418" s="34">
        <f>F5419+F5422+F5426</f>
        <v>172.32384</v>
      </c>
      <c r="G5418" s="7" t="s">
        <v>539</v>
      </c>
      <c r="H5418" s="7" t="s">
        <v>838</v>
      </c>
      <c r="I5418" s="7"/>
      <c r="J5418" s="7"/>
      <c r="K5418" s="7"/>
      <c r="L5418" s="34">
        <f>L5419+L5422+L5426</f>
        <v>1361.21853026549</v>
      </c>
    </row>
    <row r="5419" customHeight="1" spans="1:12">
      <c r="A5419" s="7">
        <v>1</v>
      </c>
      <c r="B5419" s="7" t="s">
        <v>839</v>
      </c>
      <c r="C5419" s="7" t="s">
        <v>840</v>
      </c>
      <c r="D5419" s="69"/>
      <c r="E5419" s="42">
        <f>SUM(E5420:E5421)</f>
        <v>14.368</v>
      </c>
      <c r="F5419" s="69">
        <f>SUM(F5420:F5421)</f>
        <v>106.33384</v>
      </c>
      <c r="G5419" s="7">
        <v>1</v>
      </c>
      <c r="H5419" s="7" t="s">
        <v>839</v>
      </c>
      <c r="I5419" s="7" t="s">
        <v>840</v>
      </c>
      <c r="J5419" s="69"/>
      <c r="K5419" s="42">
        <f>SUM(K5420:K5421)</f>
        <v>14.368</v>
      </c>
      <c r="L5419" s="69">
        <f>SUM(L5420:L5421)</f>
        <v>106.33384</v>
      </c>
    </row>
    <row r="5420" customHeight="1" spans="1:12">
      <c r="A5420" s="7"/>
      <c r="B5420" s="7" t="s">
        <v>841</v>
      </c>
      <c r="C5420" s="7" t="s">
        <v>840</v>
      </c>
      <c r="D5420" s="69">
        <f t="shared" ref="D5420:D5425" si="306">D5398</f>
        <v>8.1</v>
      </c>
      <c r="E5420" s="42">
        <f>1.257*8</f>
        <v>10.056</v>
      </c>
      <c r="F5420" s="69">
        <f t="shared" ref="F5420:F5425" si="307">D5420*E5420</f>
        <v>81.4536</v>
      </c>
      <c r="G5420" s="7"/>
      <c r="H5420" s="7" t="s">
        <v>841</v>
      </c>
      <c r="I5420" s="7" t="s">
        <v>840</v>
      </c>
      <c r="J5420" s="69">
        <f>D5420</f>
        <v>8.1</v>
      </c>
      <c r="K5420" s="42">
        <f>1.257*8</f>
        <v>10.056</v>
      </c>
      <c r="L5420" s="69">
        <f t="shared" ref="L5420:L5425" si="308">J5420*K5420</f>
        <v>81.4536</v>
      </c>
    </row>
    <row r="5421" customHeight="1" spans="1:12">
      <c r="A5421" s="7"/>
      <c r="B5421" s="7" t="s">
        <v>842</v>
      </c>
      <c r="C5421" s="7" t="s">
        <v>840</v>
      </c>
      <c r="D5421" s="69">
        <f t="shared" si="306"/>
        <v>5.77</v>
      </c>
      <c r="E5421" s="42">
        <f>0.539*8</f>
        <v>4.312</v>
      </c>
      <c r="F5421" s="69">
        <f t="shared" si="307"/>
        <v>24.88024</v>
      </c>
      <c r="G5421" s="7"/>
      <c r="H5421" s="7" t="s">
        <v>842</v>
      </c>
      <c r="I5421" s="7" t="s">
        <v>840</v>
      </c>
      <c r="J5421" s="69">
        <f>D5421</f>
        <v>5.77</v>
      </c>
      <c r="K5421" s="42">
        <f>0.539*8</f>
        <v>4.312</v>
      </c>
      <c r="L5421" s="69">
        <f t="shared" si="308"/>
        <v>24.88024</v>
      </c>
    </row>
    <row r="5422" customHeight="1" spans="1:12">
      <c r="A5422" s="7">
        <v>2</v>
      </c>
      <c r="B5422" s="7" t="s">
        <v>1254</v>
      </c>
      <c r="C5422" s="9"/>
      <c r="D5422" s="38"/>
      <c r="E5422" s="38"/>
      <c r="F5422" s="38">
        <f>SUM(F5423:F5425)</f>
        <v>65.99</v>
      </c>
      <c r="G5422" s="7">
        <v>2</v>
      </c>
      <c r="H5422" s="7" t="s">
        <v>1254</v>
      </c>
      <c r="I5422" s="9"/>
      <c r="J5422" s="38"/>
      <c r="K5422" s="38"/>
      <c r="L5422" s="38">
        <f>SUM(L5423:L5425)</f>
        <v>1254.88469026549</v>
      </c>
    </row>
    <row r="5423" customHeight="1" spans="1:12">
      <c r="A5423" s="7"/>
      <c r="B5423" s="273" t="s">
        <v>1415</v>
      </c>
      <c r="C5423" s="9" t="s">
        <v>825</v>
      </c>
      <c r="D5423" s="38"/>
      <c r="E5423" s="38">
        <v>110</v>
      </c>
      <c r="F5423" s="38">
        <f t="shared" si="307"/>
        <v>0</v>
      </c>
      <c r="G5423" s="7"/>
      <c r="H5423" s="354" t="s">
        <v>1415</v>
      </c>
      <c r="I5423" s="9" t="s">
        <v>825</v>
      </c>
      <c r="J5423" s="38">
        <v>10.41</v>
      </c>
      <c r="K5423" s="38">
        <v>110</v>
      </c>
      <c r="L5423" s="38">
        <f t="shared" si="308"/>
        <v>1145.1</v>
      </c>
    </row>
    <row r="5424" customHeight="1" spans="1:12">
      <c r="A5424" s="7"/>
      <c r="B5424" s="336" t="s">
        <v>1416</v>
      </c>
      <c r="C5424" s="35" t="s">
        <v>863</v>
      </c>
      <c r="D5424" s="38">
        <v>26</v>
      </c>
      <c r="E5424" s="38">
        <v>2.4</v>
      </c>
      <c r="F5424" s="38">
        <f t="shared" si="307"/>
        <v>62.4</v>
      </c>
      <c r="G5424" s="7"/>
      <c r="H5424" s="355" t="s">
        <v>1417</v>
      </c>
      <c r="I5424" s="35" t="s">
        <v>863</v>
      </c>
      <c r="J5424" s="38">
        <f>50/1.13</f>
        <v>44.2477876106195</v>
      </c>
      <c r="K5424" s="38">
        <v>2.4</v>
      </c>
      <c r="L5424" s="38">
        <f t="shared" si="308"/>
        <v>106.194690265487</v>
      </c>
    </row>
    <row r="5425" customHeight="1" spans="1:12">
      <c r="A5425" s="7"/>
      <c r="B5425" s="336" t="s">
        <v>913</v>
      </c>
      <c r="C5425" s="35" t="s">
        <v>341</v>
      </c>
      <c r="D5425" s="38">
        <f t="shared" si="306"/>
        <v>3.59</v>
      </c>
      <c r="E5425" s="38">
        <v>1</v>
      </c>
      <c r="F5425" s="38">
        <f t="shared" si="307"/>
        <v>3.59</v>
      </c>
      <c r="G5425" s="7"/>
      <c r="H5425" s="336" t="s">
        <v>913</v>
      </c>
      <c r="I5425" s="35" t="s">
        <v>341</v>
      </c>
      <c r="J5425" s="38">
        <f>D5425</f>
        <v>3.59</v>
      </c>
      <c r="K5425" s="38">
        <v>1</v>
      </c>
      <c r="L5425" s="38">
        <f t="shared" si="308"/>
        <v>3.59</v>
      </c>
    </row>
    <row r="5426" customHeight="1" spans="1:12">
      <c r="A5426" s="7">
        <v>3</v>
      </c>
      <c r="B5426" s="7" t="s">
        <v>843</v>
      </c>
      <c r="C5426" s="9"/>
      <c r="D5426" s="38"/>
      <c r="E5426" s="38"/>
      <c r="F5426" s="38"/>
      <c r="G5426" s="7">
        <v>3</v>
      </c>
      <c r="H5426" s="7" t="s">
        <v>843</v>
      </c>
      <c r="I5426" s="9"/>
      <c r="J5426" s="38"/>
      <c r="K5426" s="38"/>
      <c r="L5426" s="38"/>
    </row>
    <row r="5427" customHeight="1" spans="1:12">
      <c r="A5427" s="7" t="s">
        <v>564</v>
      </c>
      <c r="B5427" s="7" t="s">
        <v>846</v>
      </c>
      <c r="C5427" s="230">
        <f t="shared" ref="C5427:C5430" si="309">C5405</f>
        <v>0.048</v>
      </c>
      <c r="D5427" s="38"/>
      <c r="E5427" s="38">
        <f>F5418</f>
        <v>172.32384</v>
      </c>
      <c r="F5427" s="38">
        <f t="shared" ref="F5427:F5430" si="310">E5427*C5427</f>
        <v>8.27154432</v>
      </c>
      <c r="G5427" s="7" t="s">
        <v>564</v>
      </c>
      <c r="H5427" s="7" t="s">
        <v>846</v>
      </c>
      <c r="I5427" s="230">
        <f>C5427</f>
        <v>0.048</v>
      </c>
      <c r="J5427" s="38"/>
      <c r="K5427" s="38">
        <f>L5418</f>
        <v>1361.21853026549</v>
      </c>
      <c r="L5427" s="38">
        <f t="shared" ref="L5427:L5430" si="311">K5427*I5427</f>
        <v>65.3384894527434</v>
      </c>
    </row>
    <row r="5428" customHeight="1" spans="1:12">
      <c r="A5428" s="7" t="s">
        <v>439</v>
      </c>
      <c r="B5428" s="7" t="s">
        <v>847</v>
      </c>
      <c r="C5428" s="230">
        <f t="shared" si="309"/>
        <v>0.0725</v>
      </c>
      <c r="D5428" s="38"/>
      <c r="E5428" s="38">
        <f>F5417</f>
        <v>180.59538432</v>
      </c>
      <c r="F5428" s="38">
        <f t="shared" si="310"/>
        <v>13.0931653632</v>
      </c>
      <c r="G5428" s="7" t="s">
        <v>439</v>
      </c>
      <c r="H5428" s="7" t="s">
        <v>847</v>
      </c>
      <c r="I5428" s="230">
        <f>C5428</f>
        <v>0.0725</v>
      </c>
      <c r="J5428" s="38"/>
      <c r="K5428" s="38">
        <f>L5417</f>
        <v>1426.55701971823</v>
      </c>
      <c r="L5428" s="38">
        <f t="shared" si="311"/>
        <v>103.425383929572</v>
      </c>
    </row>
    <row r="5429" customHeight="1" spans="1:12">
      <c r="A5429" s="7" t="s">
        <v>83</v>
      </c>
      <c r="B5429" s="7" t="s">
        <v>848</v>
      </c>
      <c r="C5429" s="230">
        <f t="shared" si="309"/>
        <v>0.05</v>
      </c>
      <c r="D5429" s="38"/>
      <c r="E5429" s="38">
        <f>F5428+F5417</f>
        <v>193.6885496832</v>
      </c>
      <c r="F5429" s="38">
        <f t="shared" si="310"/>
        <v>9.68442748416</v>
      </c>
      <c r="G5429" s="7" t="s">
        <v>83</v>
      </c>
      <c r="H5429" s="7" t="s">
        <v>848</v>
      </c>
      <c r="I5429" s="230">
        <f>C5429</f>
        <v>0.05</v>
      </c>
      <c r="J5429" s="38"/>
      <c r="K5429" s="38">
        <f>L5428+L5417</f>
        <v>1529.9824036478</v>
      </c>
      <c r="L5429" s="38">
        <f t="shared" si="311"/>
        <v>76.4991201823901</v>
      </c>
    </row>
    <row r="5430" customHeight="1" spans="1:12">
      <c r="A5430" s="7" t="s">
        <v>135</v>
      </c>
      <c r="B5430" s="7" t="s">
        <v>849</v>
      </c>
      <c r="C5430" s="231">
        <f t="shared" si="309"/>
        <v>0.09</v>
      </c>
      <c r="D5430" s="38"/>
      <c r="E5430" s="34">
        <f>F5429+F5428+F5417</f>
        <v>203.37297716736</v>
      </c>
      <c r="F5430" s="38">
        <f t="shared" si="310"/>
        <v>18.3035679450624</v>
      </c>
      <c r="G5430" s="7" t="s">
        <v>135</v>
      </c>
      <c r="H5430" s="7" t="s">
        <v>849</v>
      </c>
      <c r="I5430" s="231">
        <f>C5430</f>
        <v>0.09</v>
      </c>
      <c r="J5430" s="38"/>
      <c r="K5430" s="34">
        <f>L5429+L5428+L5417</f>
        <v>1606.48152383019</v>
      </c>
      <c r="L5430" s="38">
        <f t="shared" si="311"/>
        <v>144.583337144717</v>
      </c>
    </row>
    <row r="5431" customHeight="1" spans="1:12">
      <c r="A5431" s="7"/>
      <c r="B5431" s="7" t="s">
        <v>850</v>
      </c>
      <c r="C5431" s="231"/>
      <c r="D5431" s="38"/>
      <c r="E5431" s="34"/>
      <c r="F5431" s="38">
        <f>(E5430+F5430)*取费表!H12</f>
        <v>6.65029635337267</v>
      </c>
      <c r="G5431" s="7"/>
      <c r="H5431" s="7" t="s">
        <v>850</v>
      </c>
      <c r="I5431" s="231"/>
      <c r="J5431" s="38"/>
      <c r="K5431" s="34"/>
      <c r="L5431" s="38">
        <f>(K5430+L5430)*取费表!H12</f>
        <v>52.5319458292473</v>
      </c>
    </row>
    <row r="5432" customHeight="1" spans="1:12">
      <c r="A5432" s="7"/>
      <c r="B5432" s="7" t="s">
        <v>156</v>
      </c>
      <c r="C5432" s="7"/>
      <c r="D5432" s="38"/>
      <c r="E5432" s="38"/>
      <c r="F5432" s="38">
        <f>F5430+E5430+F5431</f>
        <v>228.326841465795</v>
      </c>
      <c r="G5432" s="7"/>
      <c r="H5432" s="7" t="s">
        <v>156</v>
      </c>
      <c r="I5432" s="7"/>
      <c r="J5432" s="38"/>
      <c r="K5432" s="38"/>
      <c r="L5432" s="38">
        <f>L5430+K5430+L5431</f>
        <v>1803.59680680416</v>
      </c>
    </row>
    <row r="5434" customHeight="1" spans="1:6">
      <c r="A5434" s="224" t="s">
        <v>828</v>
      </c>
      <c r="B5434" s="225"/>
      <c r="C5434" s="225"/>
      <c r="D5434" s="225"/>
      <c r="E5434" s="225"/>
      <c r="F5434" s="225"/>
    </row>
    <row r="5435" customHeight="1" spans="1:6">
      <c r="A5435" s="296" t="s">
        <v>1418</v>
      </c>
      <c r="B5435" s="296"/>
      <c r="C5435" s="296"/>
      <c r="D5435" s="296"/>
      <c r="E5435" s="296"/>
      <c r="F5435" s="296"/>
    </row>
    <row r="5436" customHeight="1" spans="1:6">
      <c r="A5436" s="270" t="s">
        <v>1419</v>
      </c>
      <c r="B5436" s="228"/>
      <c r="C5436" s="229"/>
      <c r="D5436" s="229"/>
      <c r="E5436" s="228" t="s">
        <v>1410</v>
      </c>
      <c r="F5436" s="228"/>
    </row>
    <row r="5437" customHeight="1" spans="1:6">
      <c r="A5437" s="232" t="s">
        <v>911</v>
      </c>
      <c r="B5437" s="233"/>
      <c r="C5437" s="233"/>
      <c r="D5437" s="233"/>
      <c r="E5437" s="233"/>
      <c r="F5437" s="147"/>
    </row>
    <row r="5438" customHeight="1" spans="1:6">
      <c r="A5438" s="7" t="s">
        <v>104</v>
      </c>
      <c r="B5438" s="7" t="s">
        <v>835</v>
      </c>
      <c r="C5438" s="7" t="s">
        <v>159</v>
      </c>
      <c r="D5438" s="7" t="s">
        <v>422</v>
      </c>
      <c r="E5438" s="7" t="s">
        <v>160</v>
      </c>
      <c r="F5438" s="7" t="s">
        <v>18</v>
      </c>
    </row>
    <row r="5439" customHeight="1" spans="1:6">
      <c r="A5439" s="7" t="s">
        <v>836</v>
      </c>
      <c r="B5439" s="7" t="s">
        <v>837</v>
      </c>
      <c r="C5439" s="7"/>
      <c r="D5439" s="7"/>
      <c r="E5439" s="7"/>
      <c r="F5439" s="34">
        <f>F5440+F5450</f>
        <v>143.07142992</v>
      </c>
    </row>
    <row r="5440" customHeight="1" spans="1:6">
      <c r="A5440" s="7" t="s">
        <v>539</v>
      </c>
      <c r="B5440" s="7" t="s">
        <v>838</v>
      </c>
      <c r="C5440" s="7"/>
      <c r="D5440" s="7"/>
      <c r="E5440" s="7"/>
      <c r="F5440" s="34">
        <f>F5441+F5444+F5448</f>
        <v>136.51854</v>
      </c>
    </row>
    <row r="5441" customHeight="1" spans="1:6">
      <c r="A5441" s="7">
        <v>1</v>
      </c>
      <c r="B5441" s="7" t="s">
        <v>839</v>
      </c>
      <c r="C5441" s="7" t="s">
        <v>840</v>
      </c>
      <c r="D5441" s="69"/>
      <c r="E5441" s="42">
        <f>SUM(E5442:E5443)</f>
        <v>16.536</v>
      </c>
      <c r="F5441" s="69">
        <f>SUM(F5442:F5443)</f>
        <v>113.66128</v>
      </c>
    </row>
    <row r="5442" customHeight="1" spans="1:6">
      <c r="A5442" s="7"/>
      <c r="B5442" s="7" t="s">
        <v>841</v>
      </c>
      <c r="C5442" s="7" t="s">
        <v>840</v>
      </c>
      <c r="D5442" s="69">
        <f t="shared" ref="D5442:D5447" si="312">D5420</f>
        <v>8.1</v>
      </c>
      <c r="E5442" s="42">
        <f>(0.326+0.653)*8</f>
        <v>7.832</v>
      </c>
      <c r="F5442" s="69">
        <f t="shared" ref="F5442:F5447" si="313">D5442*E5442</f>
        <v>63.4392</v>
      </c>
    </row>
    <row r="5443" customHeight="1" spans="1:6">
      <c r="A5443" s="7"/>
      <c r="B5443" s="7" t="s">
        <v>842</v>
      </c>
      <c r="C5443" s="7" t="s">
        <v>840</v>
      </c>
      <c r="D5443" s="69">
        <f t="shared" si="312"/>
        <v>5.77</v>
      </c>
      <c r="E5443" s="42">
        <f>1.088*8</f>
        <v>8.704</v>
      </c>
      <c r="F5443" s="69">
        <f t="shared" si="313"/>
        <v>50.22208</v>
      </c>
    </row>
    <row r="5444" customHeight="1" spans="1:6">
      <c r="A5444" s="7">
        <v>2</v>
      </c>
      <c r="B5444" s="7" t="s">
        <v>1254</v>
      </c>
      <c r="C5444" s="9"/>
      <c r="D5444" s="38"/>
      <c r="E5444" s="38"/>
      <c r="F5444" s="38">
        <f>SUM(F5445:F5447)</f>
        <v>22.85726</v>
      </c>
    </row>
    <row r="5445" customHeight="1" spans="1:6">
      <c r="A5445" s="7"/>
      <c r="B5445" s="273" t="s">
        <v>1399</v>
      </c>
      <c r="C5445" s="9" t="s">
        <v>863</v>
      </c>
      <c r="D5445" s="38">
        <v>4.66</v>
      </c>
      <c r="E5445" s="38">
        <v>2.111</v>
      </c>
      <c r="F5445" s="38">
        <f t="shared" si="313"/>
        <v>9.83726</v>
      </c>
    </row>
    <row r="5446" customHeight="1" spans="1:6">
      <c r="A5446" s="7"/>
      <c r="B5446" s="336" t="s">
        <v>1400</v>
      </c>
      <c r="C5446" s="35" t="s">
        <v>863</v>
      </c>
      <c r="D5446" s="38">
        <v>50</v>
      </c>
      <c r="E5446" s="350">
        <v>0.045</v>
      </c>
      <c r="F5446" s="38">
        <f t="shared" si="313"/>
        <v>2.25</v>
      </c>
    </row>
    <row r="5447" customHeight="1" spans="1:6">
      <c r="A5447" s="7"/>
      <c r="B5447" s="336" t="s">
        <v>913</v>
      </c>
      <c r="C5447" s="35" t="s">
        <v>341</v>
      </c>
      <c r="D5447" s="38">
        <f t="shared" si="312"/>
        <v>3.59</v>
      </c>
      <c r="E5447" s="38">
        <v>3</v>
      </c>
      <c r="F5447" s="38">
        <f t="shared" si="313"/>
        <v>10.77</v>
      </c>
    </row>
    <row r="5448" customHeight="1" spans="1:6">
      <c r="A5448" s="7">
        <v>3</v>
      </c>
      <c r="B5448" s="7" t="s">
        <v>843</v>
      </c>
      <c r="C5448" s="9"/>
      <c r="D5448" s="38"/>
      <c r="E5448" s="38"/>
      <c r="F5448" s="38"/>
    </row>
    <row r="5449" customHeight="1" spans="1:6">
      <c r="A5449" s="7"/>
      <c r="B5449" s="7"/>
      <c r="C5449" s="9"/>
      <c r="D5449" s="38"/>
      <c r="E5449" s="38"/>
      <c r="F5449" s="38"/>
    </row>
    <row r="5450" customHeight="1" spans="1:6">
      <c r="A5450" s="7" t="s">
        <v>564</v>
      </c>
      <c r="B5450" s="7" t="s">
        <v>846</v>
      </c>
      <c r="C5450" s="230">
        <f>C5427</f>
        <v>0.048</v>
      </c>
      <c r="D5450" s="38"/>
      <c r="E5450" s="38">
        <f>F5440</f>
        <v>136.51854</v>
      </c>
      <c r="F5450" s="38">
        <f t="shared" ref="F5450:F5453" si="314">E5450*C5450</f>
        <v>6.55288992</v>
      </c>
    </row>
    <row r="5451" customHeight="1" spans="1:6">
      <c r="A5451" s="7" t="s">
        <v>439</v>
      </c>
      <c r="B5451" s="7" t="s">
        <v>847</v>
      </c>
      <c r="C5451" s="230">
        <f>C5428</f>
        <v>0.0725</v>
      </c>
      <c r="D5451" s="38"/>
      <c r="E5451" s="38">
        <f>F5439</f>
        <v>143.07142992</v>
      </c>
      <c r="F5451" s="38">
        <f t="shared" si="314"/>
        <v>10.3726786692</v>
      </c>
    </row>
    <row r="5452" customHeight="1" spans="1:6">
      <c r="A5452" s="7" t="s">
        <v>83</v>
      </c>
      <c r="B5452" s="7" t="s">
        <v>848</v>
      </c>
      <c r="C5452" s="230">
        <f>C5429</f>
        <v>0.05</v>
      </c>
      <c r="D5452" s="38"/>
      <c r="E5452" s="38">
        <f>F5451+F5439</f>
        <v>153.4441085892</v>
      </c>
      <c r="F5452" s="38">
        <f t="shared" si="314"/>
        <v>7.67220542946</v>
      </c>
    </row>
    <row r="5453" customHeight="1" spans="1:6">
      <c r="A5453" s="7" t="s">
        <v>135</v>
      </c>
      <c r="B5453" s="7" t="s">
        <v>849</v>
      </c>
      <c r="C5453" s="231">
        <f>C5430</f>
        <v>0.09</v>
      </c>
      <c r="D5453" s="38"/>
      <c r="E5453" s="34">
        <f>F5452+F5451+F5439</f>
        <v>161.11631401866</v>
      </c>
      <c r="F5453" s="38">
        <f t="shared" si="314"/>
        <v>14.5004682616794</v>
      </c>
    </row>
    <row r="5454" customHeight="1" spans="1:6">
      <c r="A5454" s="7"/>
      <c r="B5454" s="7" t="s">
        <v>850</v>
      </c>
      <c r="C5454" s="231"/>
      <c r="D5454" s="38"/>
      <c r="E5454" s="34"/>
      <c r="F5454" s="38">
        <f>(E5453+F5453)*取费表!H12</f>
        <v>5.26850346841018</v>
      </c>
    </row>
    <row r="5455" customHeight="1" spans="1:6">
      <c r="A5455" s="7"/>
      <c r="B5455" s="7" t="s">
        <v>156</v>
      </c>
      <c r="C5455" s="7"/>
      <c r="D5455" s="38"/>
      <c r="E5455" s="38"/>
      <c r="F5455" s="38">
        <f>F5453+E5453+F5454</f>
        <v>180.88528574875</v>
      </c>
    </row>
    <row r="5457" customHeight="1" spans="1:25">
      <c r="A5457" s="224" t="s">
        <v>828</v>
      </c>
      <c r="B5457" s="225"/>
      <c r="C5457" s="225"/>
      <c r="D5457" s="225"/>
      <c r="E5457" s="225"/>
      <c r="F5457" s="225"/>
      <c r="G5457" s="224" t="s">
        <v>828</v>
      </c>
      <c r="H5457" s="225"/>
      <c r="I5457" s="225"/>
      <c r="J5457" s="225"/>
      <c r="K5457" s="225"/>
      <c r="L5457" s="225"/>
      <c r="N5457" s="224" t="s">
        <v>828</v>
      </c>
      <c r="O5457" s="225"/>
      <c r="P5457" s="225"/>
      <c r="Q5457" s="225"/>
      <c r="R5457" s="225"/>
      <c r="S5457" s="225"/>
      <c r="T5457" s="224" t="s">
        <v>828</v>
      </c>
      <c r="U5457" s="225"/>
      <c r="V5457" s="225"/>
      <c r="W5457" s="225"/>
      <c r="X5457" s="225"/>
      <c r="Y5457" s="225"/>
    </row>
    <row r="5458" customHeight="1" spans="1:25">
      <c r="A5458" s="296" t="s">
        <v>1420</v>
      </c>
      <c r="B5458" s="296"/>
      <c r="C5458" s="296"/>
      <c r="D5458" s="296"/>
      <c r="E5458" s="296"/>
      <c r="F5458" s="296"/>
      <c r="G5458" s="296" t="s">
        <v>1421</v>
      </c>
      <c r="H5458" s="296"/>
      <c r="I5458" s="296"/>
      <c r="J5458" s="296"/>
      <c r="K5458" s="296"/>
      <c r="L5458" s="296"/>
      <c r="N5458" s="296" t="s">
        <v>1422</v>
      </c>
      <c r="O5458" s="296"/>
      <c r="P5458" s="296"/>
      <c r="Q5458" s="296"/>
      <c r="R5458" s="296"/>
      <c r="S5458" s="296"/>
      <c r="T5458" s="296" t="s">
        <v>1423</v>
      </c>
      <c r="U5458" s="296"/>
      <c r="V5458" s="296"/>
      <c r="W5458" s="296"/>
      <c r="X5458" s="296"/>
      <c r="Y5458" s="296"/>
    </row>
    <row r="5459" customHeight="1" spans="1:25">
      <c r="A5459" s="227" t="s">
        <v>1424</v>
      </c>
      <c r="B5459" s="228"/>
      <c r="C5459" s="229"/>
      <c r="D5459" s="229"/>
      <c r="E5459" s="228" t="s">
        <v>857</v>
      </c>
      <c r="F5459" s="228"/>
      <c r="G5459" s="227" t="s">
        <v>1424</v>
      </c>
      <c r="H5459" s="228"/>
      <c r="I5459" s="229"/>
      <c r="J5459" s="229"/>
      <c r="K5459" s="228" t="s">
        <v>857</v>
      </c>
      <c r="L5459" s="228"/>
      <c r="N5459" s="227" t="s">
        <v>1425</v>
      </c>
      <c r="O5459" s="228"/>
      <c r="P5459" s="229"/>
      <c r="Q5459" s="229"/>
      <c r="R5459" s="228" t="s">
        <v>857</v>
      </c>
      <c r="S5459" s="228"/>
      <c r="T5459" s="227" t="s">
        <v>1424</v>
      </c>
      <c r="U5459" s="228"/>
      <c r="V5459" s="229"/>
      <c r="W5459" s="229"/>
      <c r="X5459" s="228" t="s">
        <v>857</v>
      </c>
      <c r="Y5459" s="228"/>
    </row>
    <row r="5460" customHeight="1" spans="1:25">
      <c r="A5460" s="232" t="s">
        <v>911</v>
      </c>
      <c r="B5460" s="233"/>
      <c r="C5460" s="233"/>
      <c r="D5460" s="233"/>
      <c r="E5460" s="233"/>
      <c r="F5460" s="147"/>
      <c r="G5460" s="232" t="s">
        <v>911</v>
      </c>
      <c r="H5460" s="233"/>
      <c r="I5460" s="233"/>
      <c r="J5460" s="233"/>
      <c r="K5460" s="233"/>
      <c r="L5460" s="147"/>
      <c r="N5460" s="232" t="s">
        <v>911</v>
      </c>
      <c r="O5460" s="233"/>
      <c r="P5460" s="233"/>
      <c r="Q5460" s="233"/>
      <c r="R5460" s="233"/>
      <c r="S5460" s="147"/>
      <c r="T5460" s="232" t="s">
        <v>911</v>
      </c>
      <c r="U5460" s="233"/>
      <c r="V5460" s="233"/>
      <c r="W5460" s="233"/>
      <c r="X5460" s="233"/>
      <c r="Y5460" s="147"/>
    </row>
    <row r="5461" customHeight="1" spans="1:25">
      <c r="A5461" s="7" t="s">
        <v>104</v>
      </c>
      <c r="B5461" s="7" t="s">
        <v>835</v>
      </c>
      <c r="C5461" s="7" t="s">
        <v>159</v>
      </c>
      <c r="D5461" s="7" t="s">
        <v>422</v>
      </c>
      <c r="E5461" s="7" t="s">
        <v>160</v>
      </c>
      <c r="F5461" s="7" t="s">
        <v>18</v>
      </c>
      <c r="G5461" s="7" t="s">
        <v>104</v>
      </c>
      <c r="H5461" s="7" t="s">
        <v>835</v>
      </c>
      <c r="I5461" s="7" t="s">
        <v>159</v>
      </c>
      <c r="J5461" s="7" t="s">
        <v>422</v>
      </c>
      <c r="K5461" s="7" t="s">
        <v>160</v>
      </c>
      <c r="L5461" s="7" t="s">
        <v>18</v>
      </c>
      <c r="N5461" s="7" t="s">
        <v>104</v>
      </c>
      <c r="O5461" s="7" t="s">
        <v>835</v>
      </c>
      <c r="P5461" s="7" t="s">
        <v>159</v>
      </c>
      <c r="Q5461" s="7" t="s">
        <v>422</v>
      </c>
      <c r="R5461" s="7" t="s">
        <v>160</v>
      </c>
      <c r="S5461" s="7" t="s">
        <v>18</v>
      </c>
      <c r="T5461" s="7" t="s">
        <v>104</v>
      </c>
      <c r="U5461" s="7" t="s">
        <v>835</v>
      </c>
      <c r="V5461" s="7" t="s">
        <v>159</v>
      </c>
      <c r="W5461" s="7" t="s">
        <v>422</v>
      </c>
      <c r="X5461" s="7" t="s">
        <v>160</v>
      </c>
      <c r="Y5461" s="7" t="s">
        <v>18</v>
      </c>
    </row>
    <row r="5462" customHeight="1" spans="1:25">
      <c r="A5462" s="7" t="s">
        <v>836</v>
      </c>
      <c r="B5462" s="7" t="s">
        <v>837</v>
      </c>
      <c r="C5462" s="7"/>
      <c r="D5462" s="7"/>
      <c r="E5462" s="7"/>
      <c r="F5462" s="34">
        <f>F5463+F5480</f>
        <v>2760.633216</v>
      </c>
      <c r="G5462" s="7" t="s">
        <v>836</v>
      </c>
      <c r="H5462" s="7" t="s">
        <v>837</v>
      </c>
      <c r="I5462" s="7"/>
      <c r="J5462" s="7"/>
      <c r="K5462" s="7"/>
      <c r="L5462" s="34">
        <f>L5463+L5480</f>
        <v>2852.186496</v>
      </c>
      <c r="N5462" s="7" t="s">
        <v>836</v>
      </c>
      <c r="O5462" s="7" t="s">
        <v>837</v>
      </c>
      <c r="P5462" s="7"/>
      <c r="Q5462" s="7"/>
      <c r="R5462" s="7"/>
      <c r="S5462" s="34">
        <f>S5463+S5480</f>
        <v>1764.9319792</v>
      </c>
      <c r="T5462" s="7" t="s">
        <v>836</v>
      </c>
      <c r="U5462" s="7" t="s">
        <v>837</v>
      </c>
      <c r="V5462" s="7"/>
      <c r="W5462" s="7"/>
      <c r="X5462" s="7"/>
      <c r="Y5462" s="34">
        <f>Y5463+Y5480</f>
        <v>1808.9479792</v>
      </c>
    </row>
    <row r="5463" customHeight="1" spans="1:25">
      <c r="A5463" s="7" t="s">
        <v>539</v>
      </c>
      <c r="B5463" s="7" t="s">
        <v>838</v>
      </c>
      <c r="C5463" s="7"/>
      <c r="D5463" s="7"/>
      <c r="E5463" s="7"/>
      <c r="F5463" s="34">
        <f>F5464+F5467+F5478</f>
        <v>2634.192</v>
      </c>
      <c r="G5463" s="7" t="s">
        <v>539</v>
      </c>
      <c r="H5463" s="7" t="s">
        <v>838</v>
      </c>
      <c r="I5463" s="7"/>
      <c r="J5463" s="7"/>
      <c r="K5463" s="7"/>
      <c r="L5463" s="34">
        <f>L5464+L5467+L5478</f>
        <v>2721.552</v>
      </c>
      <c r="N5463" s="7" t="s">
        <v>539</v>
      </c>
      <c r="O5463" s="7" t="s">
        <v>838</v>
      </c>
      <c r="P5463" s="7"/>
      <c r="Q5463" s="7"/>
      <c r="R5463" s="7"/>
      <c r="S5463" s="34">
        <f>S5464+S5467+S5478</f>
        <v>1684.0954</v>
      </c>
      <c r="T5463" s="7" t="s">
        <v>539</v>
      </c>
      <c r="U5463" s="7" t="s">
        <v>838</v>
      </c>
      <c r="V5463" s="7"/>
      <c r="W5463" s="7"/>
      <c r="X5463" s="7"/>
      <c r="Y5463" s="34">
        <f>Y5464+Y5467+Y5478</f>
        <v>1726.0954</v>
      </c>
    </row>
    <row r="5464" customHeight="1" spans="1:25">
      <c r="A5464" s="7">
        <v>1</v>
      </c>
      <c r="B5464" s="7" t="s">
        <v>839</v>
      </c>
      <c r="C5464" s="7" t="s">
        <v>840</v>
      </c>
      <c r="D5464" s="69"/>
      <c r="E5464" s="42">
        <f>SUM(E5465:E5466)</f>
        <v>134.4</v>
      </c>
      <c r="F5464" s="69">
        <f>SUM(F5465:F5466)</f>
        <v>838.1184</v>
      </c>
      <c r="G5464" s="7">
        <v>1</v>
      </c>
      <c r="H5464" s="7" t="s">
        <v>839</v>
      </c>
      <c r="I5464" s="7" t="s">
        <v>840</v>
      </c>
      <c r="J5464" s="69"/>
      <c r="K5464" s="42">
        <f>SUM(K5465:K5466)</f>
        <v>134.4</v>
      </c>
      <c r="L5464" s="69">
        <f>SUM(L5465:L5466)</f>
        <v>838.1184</v>
      </c>
      <c r="N5464" s="7">
        <v>1</v>
      </c>
      <c r="O5464" s="7" t="s">
        <v>839</v>
      </c>
      <c r="P5464" s="7" t="s">
        <v>840</v>
      </c>
      <c r="Q5464" s="69"/>
      <c r="R5464" s="42">
        <f>SUM(R5465:R5466)</f>
        <v>18.4</v>
      </c>
      <c r="S5464" s="69">
        <f>SUM(S5465:S5466)</f>
        <v>114.7424</v>
      </c>
      <c r="T5464" s="7">
        <v>1</v>
      </c>
      <c r="U5464" s="7" t="s">
        <v>839</v>
      </c>
      <c r="V5464" s="7" t="s">
        <v>840</v>
      </c>
      <c r="W5464" s="69"/>
      <c r="X5464" s="42">
        <f>SUM(X5465:X5466)</f>
        <v>18.4</v>
      </c>
      <c r="Y5464" s="69">
        <f>SUM(Y5465:Y5466)</f>
        <v>114.7424</v>
      </c>
    </row>
    <row r="5465" customHeight="1" spans="1:25">
      <c r="A5465" s="7"/>
      <c r="B5465" s="7" t="s">
        <v>841</v>
      </c>
      <c r="C5465" s="7" t="s">
        <v>840</v>
      </c>
      <c r="D5465" s="69">
        <f>D5442</f>
        <v>8.1</v>
      </c>
      <c r="E5465" s="42">
        <f>3.36*8</f>
        <v>26.88</v>
      </c>
      <c r="F5465" s="69">
        <f>D5465*E5465</f>
        <v>217.728</v>
      </c>
      <c r="G5465" s="7"/>
      <c r="H5465" s="7" t="s">
        <v>841</v>
      </c>
      <c r="I5465" s="7" t="s">
        <v>840</v>
      </c>
      <c r="J5465" s="69">
        <f>D5465</f>
        <v>8.1</v>
      </c>
      <c r="K5465" s="42">
        <f>3.36*8</f>
        <v>26.88</v>
      </c>
      <c r="L5465" s="69">
        <f t="shared" ref="L5465:L5477" si="315">J5465*K5465</f>
        <v>217.728</v>
      </c>
      <c r="N5465" s="7"/>
      <c r="O5465" s="7" t="s">
        <v>841</v>
      </c>
      <c r="P5465" s="7" t="s">
        <v>840</v>
      </c>
      <c r="Q5465" s="69">
        <f>D5465</f>
        <v>8.1</v>
      </c>
      <c r="R5465" s="42">
        <f>0.46*8</f>
        <v>3.68</v>
      </c>
      <c r="S5465" s="69">
        <f>Q5465*R5465</f>
        <v>29.808</v>
      </c>
      <c r="T5465" s="7"/>
      <c r="U5465" s="7" t="s">
        <v>841</v>
      </c>
      <c r="V5465" s="7" t="s">
        <v>840</v>
      </c>
      <c r="W5465" s="69">
        <f>Q5465</f>
        <v>8.1</v>
      </c>
      <c r="X5465" s="42">
        <f>0.46*8</f>
        <v>3.68</v>
      </c>
      <c r="Y5465" s="69">
        <f t="shared" ref="Y5465:Y5477" si="316">W5465*X5465</f>
        <v>29.808</v>
      </c>
    </row>
    <row r="5466" customHeight="1" spans="1:25">
      <c r="A5466" s="7"/>
      <c r="B5466" s="7" t="s">
        <v>842</v>
      </c>
      <c r="C5466" s="7" t="s">
        <v>840</v>
      </c>
      <c r="D5466" s="69">
        <f>D5443</f>
        <v>5.77</v>
      </c>
      <c r="E5466" s="42">
        <f>13.44*8</f>
        <v>107.52</v>
      </c>
      <c r="F5466" s="69">
        <f>D5466*E5466</f>
        <v>620.3904</v>
      </c>
      <c r="G5466" s="7"/>
      <c r="H5466" s="7" t="s">
        <v>842</v>
      </c>
      <c r="I5466" s="7" t="s">
        <v>840</v>
      </c>
      <c r="J5466" s="69">
        <f>D5466</f>
        <v>5.77</v>
      </c>
      <c r="K5466" s="42">
        <f>13.44*8</f>
        <v>107.52</v>
      </c>
      <c r="L5466" s="69">
        <f t="shared" si="315"/>
        <v>620.3904</v>
      </c>
      <c r="N5466" s="7"/>
      <c r="O5466" s="7" t="s">
        <v>842</v>
      </c>
      <c r="P5466" s="7" t="s">
        <v>840</v>
      </c>
      <c r="Q5466" s="69">
        <f>D5466</f>
        <v>5.77</v>
      </c>
      <c r="R5466" s="42">
        <f>1.84*8</f>
        <v>14.72</v>
      </c>
      <c r="S5466" s="69">
        <f>Q5466*R5466</f>
        <v>84.9344</v>
      </c>
      <c r="T5466" s="7"/>
      <c r="U5466" s="7" t="s">
        <v>842</v>
      </c>
      <c r="V5466" s="7" t="s">
        <v>840</v>
      </c>
      <c r="W5466" s="69">
        <f>Q5466</f>
        <v>5.77</v>
      </c>
      <c r="X5466" s="42">
        <f>1.84*8</f>
        <v>14.72</v>
      </c>
      <c r="Y5466" s="69">
        <f t="shared" si="316"/>
        <v>84.9344</v>
      </c>
    </row>
    <row r="5467" customHeight="1" spans="1:25">
      <c r="A5467" s="7">
        <v>2</v>
      </c>
      <c r="B5467" s="7" t="s">
        <v>1254</v>
      </c>
      <c r="C5467" s="9"/>
      <c r="D5467" s="38"/>
      <c r="E5467" s="38"/>
      <c r="F5467" s="38">
        <f>SUM(F5468:F5477)</f>
        <v>1676.1747</v>
      </c>
      <c r="G5467" s="7">
        <v>2</v>
      </c>
      <c r="H5467" s="7" t="s">
        <v>1254</v>
      </c>
      <c r="I5467" s="9"/>
      <c r="J5467" s="38"/>
      <c r="K5467" s="38"/>
      <c r="L5467" s="38">
        <f>SUM(L5468:L5477)</f>
        <v>1763.5347</v>
      </c>
      <c r="N5467" s="7">
        <v>2</v>
      </c>
      <c r="O5467" s="7" t="s">
        <v>1254</v>
      </c>
      <c r="P5467" s="9"/>
      <c r="Q5467" s="38"/>
      <c r="R5467" s="38"/>
      <c r="S5467" s="38">
        <f>SUM(S5468:S5477)</f>
        <v>1525.7534</v>
      </c>
      <c r="T5467" s="7">
        <v>2</v>
      </c>
      <c r="U5467" s="7" t="s">
        <v>1254</v>
      </c>
      <c r="V5467" s="9"/>
      <c r="W5467" s="38"/>
      <c r="X5467" s="38"/>
      <c r="Y5467" s="38">
        <f>SUM(Y5468:Y5477)</f>
        <v>1567.7534</v>
      </c>
    </row>
    <row r="5468" customHeight="1" spans="1:25">
      <c r="A5468" s="7"/>
      <c r="B5468" s="273" t="s">
        <v>1415</v>
      </c>
      <c r="C5468" s="9" t="s">
        <v>825</v>
      </c>
      <c r="D5468" s="38">
        <v>10.41</v>
      </c>
      <c r="E5468" s="38">
        <v>110</v>
      </c>
      <c r="F5468" s="38">
        <f>D5468*E5468</f>
        <v>1145.1</v>
      </c>
      <c r="G5468" s="7"/>
      <c r="H5468" s="273" t="s">
        <v>1415</v>
      </c>
      <c r="I5468" s="9" t="s">
        <v>825</v>
      </c>
      <c r="J5468" s="38">
        <v>10.41</v>
      </c>
      <c r="K5468" s="38">
        <v>110</v>
      </c>
      <c r="L5468" s="38">
        <f t="shared" si="315"/>
        <v>1145.1</v>
      </c>
      <c r="N5468" s="7"/>
      <c r="O5468" s="273" t="s">
        <v>1415</v>
      </c>
      <c r="P5468" s="9" t="s">
        <v>825</v>
      </c>
      <c r="Q5468" s="38">
        <v>10.41</v>
      </c>
      <c r="R5468" s="38">
        <v>110</v>
      </c>
      <c r="S5468" s="38">
        <f t="shared" ref="S5468:S5477" si="317">Q5468*R5468</f>
        <v>1145.1</v>
      </c>
      <c r="T5468" s="7"/>
      <c r="U5468" s="273" t="s">
        <v>1415</v>
      </c>
      <c r="V5468" s="9" t="s">
        <v>825</v>
      </c>
      <c r="W5468" s="38">
        <f>Q5468</f>
        <v>10.41</v>
      </c>
      <c r="X5468" s="38">
        <v>110</v>
      </c>
      <c r="Y5468" s="38">
        <f t="shared" si="316"/>
        <v>1145.1</v>
      </c>
    </row>
    <row r="5469" customHeight="1" spans="1:25">
      <c r="A5469" s="7"/>
      <c r="B5469" s="273" t="s">
        <v>1426</v>
      </c>
      <c r="C5469" s="9" t="s">
        <v>863</v>
      </c>
      <c r="D5469" s="38">
        <v>22.93</v>
      </c>
      <c r="E5469" s="38">
        <v>2</v>
      </c>
      <c r="F5469" s="38">
        <f t="shared" ref="F5469:F5477" si="318">D5469*E5469</f>
        <v>45.86</v>
      </c>
      <c r="G5469" s="7"/>
      <c r="H5469" s="273" t="s">
        <v>1426</v>
      </c>
      <c r="I5469" s="9" t="s">
        <v>863</v>
      </c>
      <c r="J5469" s="38">
        <v>22.93</v>
      </c>
      <c r="K5469" s="38">
        <v>2</v>
      </c>
      <c r="L5469" s="38">
        <f t="shared" si="315"/>
        <v>45.86</v>
      </c>
      <c r="N5469" s="7"/>
      <c r="O5469" s="273" t="s">
        <v>1426</v>
      </c>
      <c r="P5469" s="9" t="s">
        <v>863</v>
      </c>
      <c r="Q5469" s="38">
        <v>22.93</v>
      </c>
      <c r="R5469" s="38">
        <v>1.6</v>
      </c>
      <c r="S5469" s="38">
        <f t="shared" si="317"/>
        <v>36.688</v>
      </c>
      <c r="T5469" s="7"/>
      <c r="U5469" s="273" t="s">
        <v>1426</v>
      </c>
      <c r="V5469" s="9" t="s">
        <v>863</v>
      </c>
      <c r="W5469" s="38">
        <v>22.93</v>
      </c>
      <c r="X5469" s="38">
        <v>1.6</v>
      </c>
      <c r="Y5469" s="38">
        <f t="shared" si="316"/>
        <v>36.688</v>
      </c>
    </row>
    <row r="5470" customHeight="1" spans="1:25">
      <c r="A5470" s="7"/>
      <c r="B5470" s="273" t="s">
        <v>1427</v>
      </c>
      <c r="C5470" s="9" t="s">
        <v>863</v>
      </c>
      <c r="D5470" s="38">
        <v>27.15</v>
      </c>
      <c r="E5470" s="38">
        <v>0.5</v>
      </c>
      <c r="F5470" s="38">
        <f t="shared" si="318"/>
        <v>13.575</v>
      </c>
      <c r="G5470" s="7"/>
      <c r="H5470" s="273" t="s">
        <v>1427</v>
      </c>
      <c r="I5470" s="9" t="s">
        <v>863</v>
      </c>
      <c r="J5470" s="38">
        <v>27.15</v>
      </c>
      <c r="K5470" s="38">
        <v>0.5</v>
      </c>
      <c r="L5470" s="38">
        <f t="shared" si="315"/>
        <v>13.575</v>
      </c>
      <c r="N5470" s="7"/>
      <c r="O5470" s="273" t="s">
        <v>1427</v>
      </c>
      <c r="P5470" s="9" t="s">
        <v>863</v>
      </c>
      <c r="Q5470" s="38"/>
      <c r="R5470" s="38"/>
      <c r="S5470" s="38">
        <f t="shared" si="317"/>
        <v>0</v>
      </c>
      <c r="T5470" s="7"/>
      <c r="U5470" s="273" t="s">
        <v>1427</v>
      </c>
      <c r="V5470" s="9" t="s">
        <v>863</v>
      </c>
      <c r="W5470" s="38">
        <v>27.15</v>
      </c>
      <c r="X5470" s="38"/>
      <c r="Y5470" s="38">
        <f t="shared" si="316"/>
        <v>0</v>
      </c>
    </row>
    <row r="5471" customHeight="1" spans="1:25">
      <c r="A5471" s="7"/>
      <c r="B5471" s="273" t="s">
        <v>1428</v>
      </c>
      <c r="C5471" s="9" t="s">
        <v>863</v>
      </c>
      <c r="D5471" s="38">
        <v>4.8</v>
      </c>
      <c r="E5471" s="38">
        <v>2</v>
      </c>
      <c r="F5471" s="38">
        <f t="shared" si="318"/>
        <v>9.6</v>
      </c>
      <c r="G5471" s="7"/>
      <c r="H5471" s="273" t="s">
        <v>1428</v>
      </c>
      <c r="I5471" s="9" t="s">
        <v>863</v>
      </c>
      <c r="J5471" s="38">
        <v>4.8</v>
      </c>
      <c r="K5471" s="38">
        <v>2</v>
      </c>
      <c r="L5471" s="38">
        <f t="shared" si="315"/>
        <v>9.6</v>
      </c>
      <c r="N5471" s="7"/>
      <c r="O5471" s="273" t="s">
        <v>1428</v>
      </c>
      <c r="P5471" s="9" t="s">
        <v>863</v>
      </c>
      <c r="Q5471" s="38">
        <v>4.8</v>
      </c>
      <c r="R5471" s="38">
        <v>0.14</v>
      </c>
      <c r="S5471" s="38">
        <f t="shared" si="317"/>
        <v>0.672</v>
      </c>
      <c r="T5471" s="7"/>
      <c r="U5471" s="273" t="s">
        <v>1428</v>
      </c>
      <c r="V5471" s="9" t="s">
        <v>863</v>
      </c>
      <c r="W5471" s="38">
        <v>4.8</v>
      </c>
      <c r="X5471" s="38">
        <v>0.14</v>
      </c>
      <c r="Y5471" s="38">
        <f t="shared" si="316"/>
        <v>0.672</v>
      </c>
    </row>
    <row r="5472" customHeight="1" spans="1:25">
      <c r="A5472" s="7"/>
      <c r="B5472" s="336" t="s">
        <v>1416</v>
      </c>
      <c r="C5472" s="35" t="s">
        <v>863</v>
      </c>
      <c r="D5472" s="38">
        <v>26</v>
      </c>
      <c r="E5472" s="38">
        <v>3.64</v>
      </c>
      <c r="F5472" s="38">
        <f t="shared" si="318"/>
        <v>94.64</v>
      </c>
      <c r="G5472" s="7"/>
      <c r="H5472" s="336" t="s">
        <v>1429</v>
      </c>
      <c r="I5472" s="35" t="s">
        <v>863</v>
      </c>
      <c r="J5472" s="38">
        <v>50</v>
      </c>
      <c r="K5472" s="38">
        <v>3.64</v>
      </c>
      <c r="L5472" s="38">
        <f t="shared" si="315"/>
        <v>182</v>
      </c>
      <c r="N5472" s="7"/>
      <c r="O5472" s="336" t="s">
        <v>1416</v>
      </c>
      <c r="P5472" s="35" t="s">
        <v>863</v>
      </c>
      <c r="Q5472" s="338">
        <v>35</v>
      </c>
      <c r="R5472" s="38">
        <v>2.8</v>
      </c>
      <c r="S5472" s="38">
        <f t="shared" si="317"/>
        <v>98</v>
      </c>
      <c r="T5472" s="7"/>
      <c r="U5472" s="336" t="s">
        <v>1429</v>
      </c>
      <c r="V5472" s="35" t="s">
        <v>863</v>
      </c>
      <c r="W5472" s="38">
        <v>50</v>
      </c>
      <c r="X5472" s="38">
        <v>2.8</v>
      </c>
      <c r="Y5472" s="38">
        <f t="shared" si="316"/>
        <v>140</v>
      </c>
    </row>
    <row r="5473" customHeight="1" spans="1:25">
      <c r="A5473" s="7"/>
      <c r="B5473" s="336" t="s">
        <v>1430</v>
      </c>
      <c r="C5473" s="35" t="s">
        <v>863</v>
      </c>
      <c r="D5473" s="38">
        <v>0.28</v>
      </c>
      <c r="E5473" s="38">
        <v>18</v>
      </c>
      <c r="F5473" s="38">
        <f t="shared" si="318"/>
        <v>5.04</v>
      </c>
      <c r="G5473" s="7"/>
      <c r="H5473" s="336" t="s">
        <v>1430</v>
      </c>
      <c r="I5473" s="35" t="s">
        <v>863</v>
      </c>
      <c r="J5473" s="38">
        <v>0.28</v>
      </c>
      <c r="K5473" s="38">
        <v>18</v>
      </c>
      <c r="L5473" s="38">
        <f t="shared" si="315"/>
        <v>5.04</v>
      </c>
      <c r="N5473" s="7"/>
      <c r="O5473" s="336" t="s">
        <v>1430</v>
      </c>
      <c r="P5473" s="35" t="s">
        <v>863</v>
      </c>
      <c r="Q5473" s="38"/>
      <c r="R5473" s="38"/>
      <c r="S5473" s="38">
        <f t="shared" si="317"/>
        <v>0</v>
      </c>
      <c r="T5473" s="7"/>
      <c r="U5473" s="336" t="s">
        <v>1430</v>
      </c>
      <c r="V5473" s="35" t="s">
        <v>863</v>
      </c>
      <c r="W5473" s="38">
        <v>0.28</v>
      </c>
      <c r="X5473" s="38"/>
      <c r="Y5473" s="38">
        <f t="shared" si="316"/>
        <v>0</v>
      </c>
    </row>
    <row r="5474" customHeight="1" spans="1:25">
      <c r="A5474" s="7"/>
      <c r="B5474" s="336" t="s">
        <v>1431</v>
      </c>
      <c r="C5474" s="35" t="s">
        <v>863</v>
      </c>
      <c r="D5474" s="38">
        <v>3.28</v>
      </c>
      <c r="E5474" s="38">
        <v>25</v>
      </c>
      <c r="F5474" s="38">
        <f t="shared" si="318"/>
        <v>82</v>
      </c>
      <c r="G5474" s="7"/>
      <c r="H5474" s="336" t="s">
        <v>1431</v>
      </c>
      <c r="I5474" s="35" t="s">
        <v>863</v>
      </c>
      <c r="J5474" s="38">
        <v>3.28</v>
      </c>
      <c r="K5474" s="38">
        <v>25</v>
      </c>
      <c r="L5474" s="38">
        <f t="shared" si="315"/>
        <v>82</v>
      </c>
      <c r="N5474" s="7"/>
      <c r="O5474" s="336" t="s">
        <v>1431</v>
      </c>
      <c r="P5474" s="35" t="s">
        <v>863</v>
      </c>
      <c r="Q5474" s="38"/>
      <c r="R5474" s="38"/>
      <c r="S5474" s="38">
        <f t="shared" si="317"/>
        <v>0</v>
      </c>
      <c r="T5474" s="7"/>
      <c r="U5474" s="336" t="s">
        <v>1431</v>
      </c>
      <c r="V5474" s="35" t="s">
        <v>863</v>
      </c>
      <c r="W5474" s="38">
        <v>3.28</v>
      </c>
      <c r="X5474" s="38"/>
      <c r="Y5474" s="38">
        <f t="shared" si="316"/>
        <v>0</v>
      </c>
    </row>
    <row r="5475" customHeight="1" spans="1:25">
      <c r="A5475" s="7"/>
      <c r="B5475" s="336" t="s">
        <v>1432</v>
      </c>
      <c r="C5475" s="35" t="s">
        <v>341</v>
      </c>
      <c r="D5475" s="38">
        <v>21.49</v>
      </c>
      <c r="E5475" s="38">
        <v>11</v>
      </c>
      <c r="F5475" s="38">
        <f t="shared" si="318"/>
        <v>236.39</v>
      </c>
      <c r="G5475" s="7"/>
      <c r="H5475" s="336" t="s">
        <v>1432</v>
      </c>
      <c r="I5475" s="35" t="s">
        <v>341</v>
      </c>
      <c r="J5475" s="38">
        <v>21.49</v>
      </c>
      <c r="K5475" s="38">
        <v>11</v>
      </c>
      <c r="L5475" s="38">
        <f t="shared" si="315"/>
        <v>236.39</v>
      </c>
      <c r="N5475" s="7"/>
      <c r="O5475" s="336" t="s">
        <v>1432</v>
      </c>
      <c r="P5475" s="35" t="s">
        <v>341</v>
      </c>
      <c r="Q5475" s="338">
        <f>J5475</f>
        <v>21.49</v>
      </c>
      <c r="R5475" s="38">
        <v>8.8</v>
      </c>
      <c r="S5475" s="38">
        <f t="shared" si="317"/>
        <v>189.112</v>
      </c>
      <c r="T5475" s="7"/>
      <c r="U5475" s="336" t="s">
        <v>1432</v>
      </c>
      <c r="V5475" s="35" t="s">
        <v>341</v>
      </c>
      <c r="W5475" s="338">
        <f>Q5475</f>
        <v>21.49</v>
      </c>
      <c r="X5475" s="38">
        <v>8.8</v>
      </c>
      <c r="Y5475" s="38">
        <f t="shared" si="316"/>
        <v>189.112</v>
      </c>
    </row>
    <row r="5476" customHeight="1" spans="1:25">
      <c r="A5476" s="7"/>
      <c r="B5476" s="336" t="s">
        <v>913</v>
      </c>
      <c r="C5476" s="35" t="s">
        <v>341</v>
      </c>
      <c r="D5476" s="38">
        <f>D5447</f>
        <v>3.59</v>
      </c>
      <c r="E5476" s="38">
        <v>11.83</v>
      </c>
      <c r="F5476" s="38">
        <f t="shared" si="318"/>
        <v>42.4697</v>
      </c>
      <c r="G5476" s="7"/>
      <c r="H5476" s="336" t="s">
        <v>913</v>
      </c>
      <c r="I5476" s="35" t="s">
        <v>341</v>
      </c>
      <c r="J5476" s="38">
        <f>D5476</f>
        <v>3.59</v>
      </c>
      <c r="K5476" s="38">
        <v>11.83</v>
      </c>
      <c r="L5476" s="38">
        <f t="shared" si="315"/>
        <v>42.4697</v>
      </c>
      <c r="N5476" s="7"/>
      <c r="O5476" s="336" t="s">
        <v>913</v>
      </c>
      <c r="P5476" s="35" t="s">
        <v>341</v>
      </c>
      <c r="Q5476" s="38">
        <f>J5476</f>
        <v>3.59</v>
      </c>
      <c r="R5476" s="38">
        <v>9.46</v>
      </c>
      <c r="S5476" s="38">
        <f t="shared" si="317"/>
        <v>33.9614</v>
      </c>
      <c r="T5476" s="7"/>
      <c r="U5476" s="336" t="s">
        <v>913</v>
      </c>
      <c r="V5476" s="35" t="s">
        <v>341</v>
      </c>
      <c r="W5476" s="38">
        <f>Q5476</f>
        <v>3.59</v>
      </c>
      <c r="X5476" s="38">
        <v>9.46</v>
      </c>
      <c r="Y5476" s="38">
        <f t="shared" si="316"/>
        <v>33.9614</v>
      </c>
    </row>
    <row r="5477" customHeight="1" spans="1:25">
      <c r="A5477" s="7"/>
      <c r="B5477" s="336" t="s">
        <v>1004</v>
      </c>
      <c r="C5477" s="35" t="s">
        <v>1433</v>
      </c>
      <c r="D5477" s="38">
        <v>1</v>
      </c>
      <c r="E5477" s="38">
        <v>1.5</v>
      </c>
      <c r="F5477" s="38">
        <f t="shared" si="318"/>
        <v>1.5</v>
      </c>
      <c r="G5477" s="7"/>
      <c r="H5477" s="336" t="s">
        <v>1004</v>
      </c>
      <c r="I5477" s="35" t="s">
        <v>1433</v>
      </c>
      <c r="J5477" s="38">
        <v>1</v>
      </c>
      <c r="K5477" s="38">
        <v>1.5</v>
      </c>
      <c r="L5477" s="38">
        <f t="shared" si="315"/>
        <v>1.5</v>
      </c>
      <c r="N5477" s="7"/>
      <c r="O5477" s="336" t="s">
        <v>1004</v>
      </c>
      <c r="P5477" s="35" t="s">
        <v>1433</v>
      </c>
      <c r="Q5477" s="38">
        <v>1</v>
      </c>
      <c r="R5477" s="38">
        <v>22.22</v>
      </c>
      <c r="S5477" s="38">
        <f t="shared" si="317"/>
        <v>22.22</v>
      </c>
      <c r="T5477" s="7"/>
      <c r="U5477" s="336" t="s">
        <v>1004</v>
      </c>
      <c r="V5477" s="35" t="s">
        <v>1433</v>
      </c>
      <c r="W5477" s="38">
        <v>1</v>
      </c>
      <c r="X5477" s="38">
        <v>22.22</v>
      </c>
      <c r="Y5477" s="38">
        <f t="shared" si="316"/>
        <v>22.22</v>
      </c>
    </row>
    <row r="5478" customHeight="1" spans="1:25">
      <c r="A5478" s="7">
        <v>3</v>
      </c>
      <c r="B5478" s="7" t="s">
        <v>843</v>
      </c>
      <c r="C5478" s="9"/>
      <c r="D5478" s="38"/>
      <c r="E5478" s="38"/>
      <c r="F5478" s="38">
        <f>F5479</f>
        <v>119.8989</v>
      </c>
      <c r="G5478" s="7">
        <v>3</v>
      </c>
      <c r="H5478" s="7" t="s">
        <v>843</v>
      </c>
      <c r="I5478" s="9"/>
      <c r="J5478" s="38"/>
      <c r="K5478" s="38"/>
      <c r="L5478" s="38">
        <f>L5479</f>
        <v>119.8989</v>
      </c>
      <c r="N5478" s="7">
        <v>3</v>
      </c>
      <c r="O5478" s="7" t="s">
        <v>843</v>
      </c>
      <c r="P5478" s="9"/>
      <c r="Q5478" s="38"/>
      <c r="R5478" s="38"/>
      <c r="S5478" s="38">
        <f>S5479</f>
        <v>43.5996</v>
      </c>
      <c r="T5478" s="7">
        <v>3</v>
      </c>
      <c r="U5478" s="7" t="s">
        <v>843</v>
      </c>
      <c r="V5478" s="9"/>
      <c r="W5478" s="38"/>
      <c r="X5478" s="38"/>
      <c r="Y5478" s="38">
        <f>Y5479</f>
        <v>43.5996</v>
      </c>
    </row>
    <row r="5479" customHeight="1" spans="1:25">
      <c r="A5479" s="7"/>
      <c r="B5479" s="7" t="s">
        <v>1434</v>
      </c>
      <c r="C5479" s="7" t="s">
        <v>1435</v>
      </c>
      <c r="D5479" s="38">
        <v>363.33</v>
      </c>
      <c r="E5479" s="38">
        <v>0.33</v>
      </c>
      <c r="F5479" s="38">
        <f>D5479*E5479</f>
        <v>119.8989</v>
      </c>
      <c r="G5479" s="7"/>
      <c r="H5479" s="7" t="s">
        <v>1434</v>
      </c>
      <c r="I5479" s="7" t="s">
        <v>1435</v>
      </c>
      <c r="J5479" s="38">
        <v>363.33</v>
      </c>
      <c r="K5479" s="38">
        <v>0.33</v>
      </c>
      <c r="L5479" s="38">
        <f>J5479*K5479</f>
        <v>119.8989</v>
      </c>
      <c r="N5479" s="7"/>
      <c r="O5479" s="7" t="s">
        <v>1434</v>
      </c>
      <c r="P5479" s="7" t="s">
        <v>1435</v>
      </c>
      <c r="Q5479" s="38">
        <v>363.33</v>
      </c>
      <c r="R5479" s="38">
        <v>0.12</v>
      </c>
      <c r="S5479" s="38">
        <f>Q5479*R5479</f>
        <v>43.5996</v>
      </c>
      <c r="T5479" s="7"/>
      <c r="U5479" s="7" t="s">
        <v>1434</v>
      </c>
      <c r="V5479" s="7" t="s">
        <v>1435</v>
      </c>
      <c r="W5479" s="38">
        <v>363.33</v>
      </c>
      <c r="X5479" s="38">
        <v>0.12</v>
      </c>
      <c r="Y5479" s="38">
        <f>W5479*X5479</f>
        <v>43.5996</v>
      </c>
    </row>
    <row r="5480" customHeight="1" spans="1:25">
      <c r="A5480" s="7" t="s">
        <v>564</v>
      </c>
      <c r="B5480" s="7" t="s">
        <v>846</v>
      </c>
      <c r="C5480" s="230">
        <f t="shared" ref="C5480:C5483" si="319">C5450</f>
        <v>0.048</v>
      </c>
      <c r="D5480" s="38"/>
      <c r="E5480" s="38">
        <f>F5463</f>
        <v>2634.192</v>
      </c>
      <c r="F5480" s="38">
        <f t="shared" ref="F5480:F5483" si="320">E5480*C5480</f>
        <v>126.441216</v>
      </c>
      <c r="G5480" s="7" t="s">
        <v>564</v>
      </c>
      <c r="H5480" s="7" t="s">
        <v>846</v>
      </c>
      <c r="I5480" s="230">
        <f>C5480</f>
        <v>0.048</v>
      </c>
      <c r="J5480" s="38"/>
      <c r="K5480" s="38">
        <f>L5463</f>
        <v>2721.552</v>
      </c>
      <c r="L5480" s="38">
        <f t="shared" ref="L5480:L5483" si="321">K5480*I5480</f>
        <v>130.634496</v>
      </c>
      <c r="N5480" s="7" t="s">
        <v>564</v>
      </c>
      <c r="O5480" s="7" t="s">
        <v>846</v>
      </c>
      <c r="P5480" s="230">
        <f>C5480</f>
        <v>0.048</v>
      </c>
      <c r="Q5480" s="38"/>
      <c r="R5480" s="38">
        <f>S5463</f>
        <v>1684.0954</v>
      </c>
      <c r="S5480" s="38">
        <f t="shared" ref="S5480:S5483" si="322">R5480*P5480</f>
        <v>80.8365792</v>
      </c>
      <c r="T5480" s="7" t="s">
        <v>564</v>
      </c>
      <c r="U5480" s="7" t="s">
        <v>846</v>
      </c>
      <c r="V5480" s="230">
        <f t="shared" ref="V5480:V5483" si="323">P5480</f>
        <v>0.048</v>
      </c>
      <c r="W5480" s="38"/>
      <c r="X5480" s="38">
        <f>Y5463</f>
        <v>1726.0954</v>
      </c>
      <c r="Y5480" s="38">
        <f t="shared" ref="Y5480:Y5483" si="324">X5480*V5480</f>
        <v>82.8525792</v>
      </c>
    </row>
    <row r="5481" customHeight="1" spans="1:25">
      <c r="A5481" s="7" t="s">
        <v>439</v>
      </c>
      <c r="B5481" s="7" t="s">
        <v>847</v>
      </c>
      <c r="C5481" s="230">
        <f t="shared" si="319"/>
        <v>0.0725</v>
      </c>
      <c r="D5481" s="38"/>
      <c r="E5481" s="38">
        <f>F5462</f>
        <v>2760.633216</v>
      </c>
      <c r="F5481" s="38">
        <f t="shared" si="320"/>
        <v>200.14590816</v>
      </c>
      <c r="G5481" s="7" t="s">
        <v>439</v>
      </c>
      <c r="H5481" s="7" t="s">
        <v>847</v>
      </c>
      <c r="I5481" s="230">
        <f>C5481</f>
        <v>0.0725</v>
      </c>
      <c r="J5481" s="38"/>
      <c r="K5481" s="38">
        <f>L5462</f>
        <v>2852.186496</v>
      </c>
      <c r="L5481" s="38">
        <f t="shared" si="321"/>
        <v>206.78352096</v>
      </c>
      <c r="N5481" s="7" t="s">
        <v>439</v>
      </c>
      <c r="O5481" s="7" t="s">
        <v>847</v>
      </c>
      <c r="P5481" s="230">
        <f>C5481</f>
        <v>0.0725</v>
      </c>
      <c r="Q5481" s="38"/>
      <c r="R5481" s="38">
        <f>S5462</f>
        <v>1764.9319792</v>
      </c>
      <c r="S5481" s="38">
        <f t="shared" si="322"/>
        <v>127.957568492</v>
      </c>
      <c r="T5481" s="7" t="s">
        <v>439</v>
      </c>
      <c r="U5481" s="7" t="s">
        <v>847</v>
      </c>
      <c r="V5481" s="230">
        <f t="shared" si="323"/>
        <v>0.0725</v>
      </c>
      <c r="W5481" s="38"/>
      <c r="X5481" s="38">
        <f>Y5462</f>
        <v>1808.9479792</v>
      </c>
      <c r="Y5481" s="38">
        <f t="shared" si="324"/>
        <v>131.148728492</v>
      </c>
    </row>
    <row r="5482" customHeight="1" spans="1:25">
      <c r="A5482" s="7" t="s">
        <v>83</v>
      </c>
      <c r="B5482" s="7" t="s">
        <v>848</v>
      </c>
      <c r="C5482" s="230">
        <f t="shared" si="319"/>
        <v>0.05</v>
      </c>
      <c r="D5482" s="38"/>
      <c r="E5482" s="38">
        <f>F5481+F5462</f>
        <v>2960.77912416</v>
      </c>
      <c r="F5482" s="38">
        <f t="shared" si="320"/>
        <v>148.038956208</v>
      </c>
      <c r="G5482" s="7" t="s">
        <v>83</v>
      </c>
      <c r="H5482" s="7" t="s">
        <v>848</v>
      </c>
      <c r="I5482" s="230">
        <f>C5482</f>
        <v>0.05</v>
      </c>
      <c r="J5482" s="38"/>
      <c r="K5482" s="38">
        <f>L5481+L5462</f>
        <v>3058.97001696</v>
      </c>
      <c r="L5482" s="38">
        <f t="shared" si="321"/>
        <v>152.948500848</v>
      </c>
      <c r="N5482" s="7" t="s">
        <v>83</v>
      </c>
      <c r="O5482" s="7" t="s">
        <v>848</v>
      </c>
      <c r="P5482" s="230">
        <f>C5482</f>
        <v>0.05</v>
      </c>
      <c r="Q5482" s="38"/>
      <c r="R5482" s="38">
        <f>S5481+S5462</f>
        <v>1892.889547692</v>
      </c>
      <c r="S5482" s="38">
        <f t="shared" si="322"/>
        <v>94.6444773846</v>
      </c>
      <c r="T5482" s="7" t="s">
        <v>83</v>
      </c>
      <c r="U5482" s="7" t="s">
        <v>848</v>
      </c>
      <c r="V5482" s="230">
        <f t="shared" si="323"/>
        <v>0.05</v>
      </c>
      <c r="W5482" s="38"/>
      <c r="X5482" s="38">
        <f>Y5481+Y5462</f>
        <v>1940.096707692</v>
      </c>
      <c r="Y5482" s="38">
        <f t="shared" si="324"/>
        <v>97.0048353846</v>
      </c>
    </row>
    <row r="5483" customHeight="1" spans="1:25">
      <c r="A5483" s="7" t="s">
        <v>135</v>
      </c>
      <c r="B5483" s="7" t="s">
        <v>849</v>
      </c>
      <c r="C5483" s="231">
        <f t="shared" si="319"/>
        <v>0.09</v>
      </c>
      <c r="D5483" s="38"/>
      <c r="E5483" s="34">
        <f>F5482+F5481+F5462</f>
        <v>3108.818080368</v>
      </c>
      <c r="F5483" s="38">
        <f t="shared" si="320"/>
        <v>279.79362723312</v>
      </c>
      <c r="G5483" s="7" t="s">
        <v>135</v>
      </c>
      <c r="H5483" s="7" t="s">
        <v>849</v>
      </c>
      <c r="I5483" s="231">
        <f>C5483</f>
        <v>0.09</v>
      </c>
      <c r="J5483" s="38"/>
      <c r="K5483" s="34">
        <f>L5482+L5481+L5462</f>
        <v>3211.918517808</v>
      </c>
      <c r="L5483" s="38">
        <f t="shared" si="321"/>
        <v>289.07266660272</v>
      </c>
      <c r="N5483" s="7" t="s">
        <v>135</v>
      </c>
      <c r="O5483" s="7" t="s">
        <v>849</v>
      </c>
      <c r="P5483" s="230">
        <f>C5483</f>
        <v>0.09</v>
      </c>
      <c r="Q5483" s="38"/>
      <c r="R5483" s="34">
        <f>S5482+S5481+S5462</f>
        <v>1987.5340250766</v>
      </c>
      <c r="S5483" s="38">
        <f t="shared" si="322"/>
        <v>178.878062256894</v>
      </c>
      <c r="T5483" s="7" t="s">
        <v>135</v>
      </c>
      <c r="U5483" s="7" t="s">
        <v>849</v>
      </c>
      <c r="V5483" s="231">
        <f t="shared" si="323"/>
        <v>0.09</v>
      </c>
      <c r="W5483" s="38"/>
      <c r="X5483" s="34">
        <f>Y5482+Y5481+Y5462</f>
        <v>2037.1015430766</v>
      </c>
      <c r="Y5483" s="38">
        <f t="shared" si="324"/>
        <v>183.339138876894</v>
      </c>
    </row>
    <row r="5484" customHeight="1" spans="1:25">
      <c r="A5484" s="7"/>
      <c r="B5484" s="7" t="s">
        <v>850</v>
      </c>
      <c r="C5484" s="231"/>
      <c r="D5484" s="38"/>
      <c r="E5484" s="34"/>
      <c r="F5484" s="38">
        <f>(E5483+F5483)*取费表!H12</f>
        <v>101.658351228034</v>
      </c>
      <c r="G5484" s="7"/>
      <c r="H5484" s="7" t="s">
        <v>850</v>
      </c>
      <c r="I5484" s="231"/>
      <c r="J5484" s="38"/>
      <c r="K5484" s="34"/>
      <c r="L5484" s="38">
        <f>(K5483+L5483)*取费表!H12</f>
        <v>105.029735532322</v>
      </c>
      <c r="N5484" s="7"/>
      <c r="O5484" s="7" t="s">
        <v>850</v>
      </c>
      <c r="P5484" s="231"/>
      <c r="Q5484" s="38"/>
      <c r="R5484" s="34"/>
      <c r="S5484" s="38">
        <f>(R5483+S5483)*取费表!H12</f>
        <v>64.9923626200048</v>
      </c>
      <c r="T5484" s="7"/>
      <c r="U5484" s="7" t="s">
        <v>850</v>
      </c>
      <c r="V5484" s="231"/>
      <c r="W5484" s="38"/>
      <c r="X5484" s="34"/>
      <c r="Y5484" s="38">
        <f>(X5483+Y5483)*取费表!H12</f>
        <v>66.6132204586048</v>
      </c>
    </row>
    <row r="5485" customHeight="1" spans="1:25">
      <c r="A5485" s="7"/>
      <c r="B5485" s="7" t="s">
        <v>156</v>
      </c>
      <c r="C5485" s="7"/>
      <c r="D5485" s="38"/>
      <c r="E5485" s="38"/>
      <c r="F5485" s="38">
        <f>F5483+E5483+F5484</f>
        <v>3490.27005882915</v>
      </c>
      <c r="G5485" s="7"/>
      <c r="H5485" s="7" t="s">
        <v>156</v>
      </c>
      <c r="I5485" s="7"/>
      <c r="J5485" s="38"/>
      <c r="K5485" s="38"/>
      <c r="L5485" s="38">
        <f>L5483+K5483+L5484</f>
        <v>3606.02091994304</v>
      </c>
      <c r="N5485" s="7"/>
      <c r="O5485" s="7" t="s">
        <v>156</v>
      </c>
      <c r="P5485" s="7"/>
      <c r="Q5485" s="38"/>
      <c r="R5485" s="38"/>
      <c r="S5485" s="38">
        <f>S5483+R5483+S5484</f>
        <v>2231.4044499535</v>
      </c>
      <c r="T5485" s="7"/>
      <c r="U5485" s="7" t="s">
        <v>156</v>
      </c>
      <c r="V5485" s="7"/>
      <c r="W5485" s="38"/>
      <c r="X5485" s="38"/>
      <c r="Y5485" s="38">
        <f>Y5483+X5483+Y5484</f>
        <v>2287.0539024121</v>
      </c>
    </row>
    <row r="5487" customHeight="1" spans="1:6">
      <c r="A5487" s="356" t="s">
        <v>1436</v>
      </c>
      <c r="B5487" s="357"/>
      <c r="C5487" s="357"/>
      <c r="D5487" s="357"/>
      <c r="E5487" s="357"/>
      <c r="F5487" s="357"/>
    </row>
    <row r="5488" customHeight="1" spans="1:6">
      <c r="A5488" s="358" t="s">
        <v>1350</v>
      </c>
      <c r="B5488" s="358"/>
      <c r="C5488" s="358"/>
      <c r="D5488" s="358"/>
      <c r="E5488" s="358"/>
      <c r="F5488" s="358"/>
    </row>
    <row r="5489" customHeight="1" spans="1:6">
      <c r="A5489" s="306" t="s">
        <v>1437</v>
      </c>
      <c r="B5489" s="306"/>
      <c r="C5489" s="305"/>
      <c r="D5489" s="305"/>
      <c r="E5489" s="306" t="s">
        <v>1438</v>
      </c>
      <c r="F5489" s="306"/>
    </row>
    <row r="5490" customHeight="1" spans="1:6">
      <c r="A5490" s="307" t="s">
        <v>911</v>
      </c>
      <c r="B5490" s="308"/>
      <c r="C5490" s="308"/>
      <c r="D5490" s="308"/>
      <c r="E5490" s="308"/>
      <c r="F5490" s="312"/>
    </row>
    <row r="5491" customHeight="1" spans="1:6">
      <c r="A5491" s="309" t="s">
        <v>104</v>
      </c>
      <c r="B5491" s="309" t="s">
        <v>835</v>
      </c>
      <c r="C5491" s="309" t="s">
        <v>159</v>
      </c>
      <c r="D5491" s="309" t="s">
        <v>422</v>
      </c>
      <c r="E5491" s="309" t="s">
        <v>160</v>
      </c>
      <c r="F5491" s="309" t="s">
        <v>18</v>
      </c>
    </row>
    <row r="5492" customHeight="1" spans="1:6">
      <c r="A5492" s="309" t="s">
        <v>1105</v>
      </c>
      <c r="B5492" s="309" t="s">
        <v>837</v>
      </c>
      <c r="C5492" s="309"/>
      <c r="D5492" s="309"/>
      <c r="E5492" s="309"/>
      <c r="F5492" s="313">
        <f>F5493+F5502+F5503</f>
        <v>7554.22461142372</v>
      </c>
    </row>
    <row r="5493" customHeight="1" spans="1:6">
      <c r="A5493" s="309" t="s">
        <v>539</v>
      </c>
      <c r="B5493" s="309" t="s">
        <v>838</v>
      </c>
      <c r="C5493" s="309"/>
      <c r="D5493" s="309"/>
      <c r="E5493" s="309"/>
      <c r="F5493" s="313">
        <f>F5494+F5497+F5501</f>
        <v>7208.22959105317</v>
      </c>
    </row>
    <row r="5494" customHeight="1" spans="1:6">
      <c r="A5494" s="309">
        <v>1</v>
      </c>
      <c r="B5494" s="309" t="s">
        <v>839</v>
      </c>
      <c r="C5494" s="309" t="s">
        <v>840</v>
      </c>
      <c r="D5494" s="316"/>
      <c r="E5494" s="315">
        <f>SUM(E5495:E5496)</f>
        <v>1148</v>
      </c>
      <c r="F5494" s="316">
        <f>SUM(F5495:F5496)</f>
        <v>6677.55</v>
      </c>
    </row>
    <row r="5495" customHeight="1" spans="1:6">
      <c r="A5495" s="309"/>
      <c r="B5495" s="309" t="s">
        <v>841</v>
      </c>
      <c r="C5495" s="309" t="s">
        <v>840</v>
      </c>
      <c r="D5495" s="316">
        <f>D5465</f>
        <v>8.1</v>
      </c>
      <c r="E5495" s="315">
        <v>23</v>
      </c>
      <c r="F5495" s="316">
        <f t="shared" ref="F5495:F5499" si="325">D5495*E5495</f>
        <v>186.3</v>
      </c>
    </row>
    <row r="5496" customHeight="1" spans="1:6">
      <c r="A5496" s="309"/>
      <c r="B5496" s="309" t="s">
        <v>842</v>
      </c>
      <c r="C5496" s="309" t="s">
        <v>840</v>
      </c>
      <c r="D5496" s="316">
        <f>D5466</f>
        <v>5.77</v>
      </c>
      <c r="E5496" s="315">
        <f>1125</f>
        <v>1125</v>
      </c>
      <c r="F5496" s="316">
        <f t="shared" si="325"/>
        <v>6491.25</v>
      </c>
    </row>
    <row r="5497" customHeight="1" spans="1:6">
      <c r="A5497" s="309">
        <v>2</v>
      </c>
      <c r="B5497" s="309" t="s">
        <v>1254</v>
      </c>
      <c r="C5497" s="309"/>
      <c r="D5497" s="359"/>
      <c r="E5497" s="359"/>
      <c r="F5497" s="359">
        <f>SUM(F5498:F5500)</f>
        <v>530.679591053167</v>
      </c>
    </row>
    <row r="5498" customHeight="1" spans="1:6">
      <c r="A5498" s="309"/>
      <c r="B5498" s="309" t="s">
        <v>1352</v>
      </c>
      <c r="C5498" s="309" t="s">
        <v>341</v>
      </c>
      <c r="D5498" s="359">
        <f>F155/100</f>
        <v>1.65614692946105</v>
      </c>
      <c r="E5498" s="359">
        <v>118</v>
      </c>
      <c r="F5498" s="359">
        <f t="shared" si="325"/>
        <v>195.425337676403</v>
      </c>
    </row>
    <row r="5499" customHeight="1" spans="1:6">
      <c r="A5499" s="309"/>
      <c r="B5499" s="309" t="s">
        <v>1353</v>
      </c>
      <c r="C5499" s="309" t="s">
        <v>363</v>
      </c>
      <c r="D5499" s="359">
        <v>0.1</v>
      </c>
      <c r="E5499" s="359">
        <v>3300</v>
      </c>
      <c r="F5499" s="359">
        <f t="shared" si="325"/>
        <v>330</v>
      </c>
    </row>
    <row r="5500" customHeight="1" spans="1:6">
      <c r="A5500" s="309"/>
      <c r="B5500" s="309" t="s">
        <v>952</v>
      </c>
      <c r="C5500" s="360">
        <v>0.01</v>
      </c>
      <c r="D5500" s="359"/>
      <c r="E5500" s="359"/>
      <c r="F5500" s="359">
        <f>(F5498+F5499)*C5500</f>
        <v>5.25425337676403</v>
      </c>
    </row>
    <row r="5501" customHeight="1" spans="1:6">
      <c r="A5501" s="309">
        <v>3</v>
      </c>
      <c r="B5501" s="309" t="s">
        <v>859</v>
      </c>
      <c r="C5501" s="309"/>
      <c r="D5501" s="313"/>
      <c r="E5501" s="313"/>
      <c r="F5501" s="313"/>
    </row>
    <row r="5502" customHeight="1" spans="1:6">
      <c r="A5502" s="309" t="s">
        <v>564</v>
      </c>
      <c r="B5502" s="309" t="s">
        <v>846</v>
      </c>
      <c r="C5502" s="317">
        <f>取费表!C12</f>
        <v>0.048</v>
      </c>
      <c r="D5502" s="313"/>
      <c r="E5502" s="313">
        <f>F5493</f>
        <v>7208.22959105317</v>
      </c>
      <c r="F5502" s="313">
        <f t="shared" ref="F5502:F5506" si="326">E5502*C5502</f>
        <v>345.995020370552</v>
      </c>
    </row>
    <row r="5503" customHeight="1" spans="1:6">
      <c r="A5503" s="309"/>
      <c r="B5503" s="309"/>
      <c r="C5503" s="317"/>
      <c r="D5503" s="313"/>
      <c r="E5503" s="313"/>
      <c r="F5503" s="313"/>
    </row>
    <row r="5504" customHeight="1" spans="1:6">
      <c r="A5504" s="309" t="s">
        <v>439</v>
      </c>
      <c r="B5504" s="309" t="s">
        <v>847</v>
      </c>
      <c r="C5504" s="317">
        <f>取费表!E12</f>
        <v>0.0725</v>
      </c>
      <c r="D5504" s="313"/>
      <c r="E5504" s="313">
        <f>F5492</f>
        <v>7554.22461142372</v>
      </c>
      <c r="F5504" s="313">
        <f t="shared" si="326"/>
        <v>547.68128432822</v>
      </c>
    </row>
    <row r="5505" customHeight="1" spans="1:6">
      <c r="A5505" s="309" t="s">
        <v>83</v>
      </c>
      <c r="B5505" s="309" t="s">
        <v>848</v>
      </c>
      <c r="C5505" s="317">
        <f>取费表!F12</f>
        <v>0.05</v>
      </c>
      <c r="D5505" s="316"/>
      <c r="E5505" s="313">
        <f>F5504+F5492</f>
        <v>8101.90589575194</v>
      </c>
      <c r="F5505" s="313">
        <f t="shared" si="326"/>
        <v>405.095294787597</v>
      </c>
    </row>
    <row r="5506" customHeight="1" spans="1:6">
      <c r="A5506" s="309" t="s">
        <v>121</v>
      </c>
      <c r="B5506" s="309" t="s">
        <v>849</v>
      </c>
      <c r="C5506" s="317">
        <f>取费表!G12</f>
        <v>0.09</v>
      </c>
      <c r="D5506" s="359"/>
      <c r="E5506" s="313">
        <f>F5505+F5504+F5492</f>
        <v>8507.00119053953</v>
      </c>
      <c r="F5506" s="313">
        <f t="shared" si="326"/>
        <v>765.630107148558</v>
      </c>
    </row>
    <row r="5507" customHeight="1" spans="1:6">
      <c r="A5507" s="309"/>
      <c r="B5507" s="309" t="s">
        <v>850</v>
      </c>
      <c r="C5507" s="318"/>
      <c r="D5507" s="359"/>
      <c r="E5507" s="313"/>
      <c r="F5507" s="313">
        <f>(F5492+F5504+F5505+F5506)*取费表!H12</f>
        <v>278.178938930643</v>
      </c>
    </row>
    <row r="5508" customHeight="1" spans="1:6">
      <c r="A5508" s="309"/>
      <c r="B5508" s="309" t="s">
        <v>156</v>
      </c>
      <c r="C5508" s="309"/>
      <c r="D5508" s="359"/>
      <c r="E5508" s="359"/>
      <c r="F5508" s="359">
        <f>E5506+F5506+F5507</f>
        <v>9550.81023661873</v>
      </c>
    </row>
    <row r="5509" customHeight="1" spans="1:6">
      <c r="A5509" s="361"/>
      <c r="B5509" s="361"/>
      <c r="C5509" s="362"/>
      <c r="D5509" s="363"/>
      <c r="E5509" s="363"/>
      <c r="F5509" s="363"/>
    </row>
    <row r="5510" customHeight="1" spans="1:6">
      <c r="A5510" s="361"/>
      <c r="B5510" s="361"/>
      <c r="C5510" s="362"/>
      <c r="D5510" s="363"/>
      <c r="E5510" s="363"/>
      <c r="F5510" s="363"/>
    </row>
    <row r="5511" customHeight="1" spans="1:6">
      <c r="A5511" s="361"/>
      <c r="B5511" s="361"/>
      <c r="C5511" s="362"/>
      <c r="D5511" s="363"/>
      <c r="E5511" s="363"/>
      <c r="F5511" s="363"/>
    </row>
    <row r="5512" customHeight="1" spans="1:6">
      <c r="A5512" s="361"/>
      <c r="B5512" s="361"/>
      <c r="C5512" s="362"/>
      <c r="D5512" s="363"/>
      <c r="E5512" s="363"/>
      <c r="F5512" s="363"/>
    </row>
    <row r="5513" customHeight="1" spans="1:6">
      <c r="A5513" s="361"/>
      <c r="B5513" s="361"/>
      <c r="C5513" s="362"/>
      <c r="D5513" s="363"/>
      <c r="E5513" s="363"/>
      <c r="F5513" s="363"/>
    </row>
    <row r="5514" customHeight="1" spans="1:6">
      <c r="A5514" s="361"/>
      <c r="B5514" s="361"/>
      <c r="C5514" s="362"/>
      <c r="D5514" s="363"/>
      <c r="E5514" s="363"/>
      <c r="F5514" s="363"/>
    </row>
    <row r="5515" customHeight="1" spans="1:6">
      <c r="A5515" s="361"/>
      <c r="B5515" s="361"/>
      <c r="C5515" s="362"/>
      <c r="D5515" s="363"/>
      <c r="E5515" s="363"/>
      <c r="F5515" s="363"/>
    </row>
  </sheetData>
  <sheetProtection formatCells="0" insertHyperlinks="0" autoFilter="0"/>
  <mergeCells count="190">
    <mergeCell ref="A2:F2"/>
    <mergeCell ref="G2:L2"/>
    <mergeCell ref="A21:F21"/>
    <mergeCell ref="A40:F40"/>
    <mergeCell ref="G40:L40"/>
    <mergeCell ref="A62:F62"/>
    <mergeCell ref="A84:F84"/>
    <mergeCell ref="G84:L84"/>
    <mergeCell ref="A106:F106"/>
    <mergeCell ref="G106:L106"/>
    <mergeCell ref="A128:F128"/>
    <mergeCell ref="A151:F151"/>
    <mergeCell ref="A173:F173"/>
    <mergeCell ref="A268:F268"/>
    <mergeCell ref="G268:L268"/>
    <mergeCell ref="G292:L292"/>
    <mergeCell ref="M292:R292"/>
    <mergeCell ref="A317:F317"/>
    <mergeCell ref="G317:L317"/>
    <mergeCell ref="A342:F342"/>
    <mergeCell ref="G342:L342"/>
    <mergeCell ref="A367:F367"/>
    <mergeCell ref="A395:F395"/>
    <mergeCell ref="G395:L395"/>
    <mergeCell ref="A432:F432"/>
    <mergeCell ref="A433:F433"/>
    <mergeCell ref="A453:F453"/>
    <mergeCell ref="A473:F473"/>
    <mergeCell ref="A474:F474"/>
    <mergeCell ref="A498:F498"/>
    <mergeCell ref="A499:F499"/>
    <mergeCell ref="A500:B500"/>
    <mergeCell ref="A516:F516"/>
    <mergeCell ref="A517:F517"/>
    <mergeCell ref="A559:F559"/>
    <mergeCell ref="A560:F560"/>
    <mergeCell ref="A597:F597"/>
    <mergeCell ref="A598:F598"/>
    <mergeCell ref="A599:B599"/>
    <mergeCell ref="E599:F599"/>
    <mergeCell ref="A600:F600"/>
    <mergeCell ref="A635:F635"/>
    <mergeCell ref="G635:L635"/>
    <mergeCell ref="M635:R635"/>
    <mergeCell ref="A636:F636"/>
    <mergeCell ref="G636:L636"/>
    <mergeCell ref="M636:R636"/>
    <mergeCell ref="A673:F673"/>
    <mergeCell ref="A674:F674"/>
    <mergeCell ref="A711:F711"/>
    <mergeCell ref="G711:L711"/>
    <mergeCell ref="M711:R711"/>
    <mergeCell ref="A712:F712"/>
    <mergeCell ref="G712:L712"/>
    <mergeCell ref="M712:R712"/>
    <mergeCell ref="A749:F749"/>
    <mergeCell ref="A750:F750"/>
    <mergeCell ref="A787:F787"/>
    <mergeCell ref="G787:L787"/>
    <mergeCell ref="A788:F788"/>
    <mergeCell ref="G788:L788"/>
    <mergeCell ref="A825:F825"/>
    <mergeCell ref="A826:F826"/>
    <mergeCell ref="A863:F863"/>
    <mergeCell ref="A864:F864"/>
    <mergeCell ref="A901:F901"/>
    <mergeCell ref="G901:L901"/>
    <mergeCell ref="A902:F902"/>
    <mergeCell ref="G902:L902"/>
    <mergeCell ref="A939:F939"/>
    <mergeCell ref="G939:L939"/>
    <mergeCell ref="A940:F940"/>
    <mergeCell ref="G940:L940"/>
    <mergeCell ref="A977:F977"/>
    <mergeCell ref="A1025:F1025"/>
    <mergeCell ref="A1073:F1073"/>
    <mergeCell ref="G1073:L1073"/>
    <mergeCell ref="A1119:F1119"/>
    <mergeCell ref="A1165:F1165"/>
    <mergeCell ref="A1211:F1211"/>
    <mergeCell ref="A1257:F1257"/>
    <mergeCell ref="A1303:F1303"/>
    <mergeCell ref="G1303:L1303"/>
    <mergeCell ref="M1303:R1303"/>
    <mergeCell ref="A1350:F1350"/>
    <mergeCell ref="A1396:F1396"/>
    <mergeCell ref="G1396:L1396"/>
    <mergeCell ref="A1444:F1444"/>
    <mergeCell ref="G1444:L1444"/>
    <mergeCell ref="A1490:F1490"/>
    <mergeCell ref="A1536:F1536"/>
    <mergeCell ref="A1584:F1584"/>
    <mergeCell ref="A1632:F1632"/>
    <mergeCell ref="A1679:F1679"/>
    <mergeCell ref="G1679:L1679"/>
    <mergeCell ref="A1726:F1726"/>
    <mergeCell ref="A1773:F1773"/>
    <mergeCell ref="A1820:F1820"/>
    <mergeCell ref="A1867:F1867"/>
    <mergeCell ref="A1914:F1914"/>
    <mergeCell ref="A1961:F1961"/>
    <mergeCell ref="A2004:F2004"/>
    <mergeCell ref="A2785:F2785"/>
    <mergeCell ref="A2802:F2802"/>
    <mergeCell ref="A2819:F2819"/>
    <mergeCell ref="A2862:F2862"/>
    <mergeCell ref="A2905:F2905"/>
    <mergeCell ref="A2943:F2943"/>
    <mergeCell ref="G2943:L2943"/>
    <mergeCell ref="A2983:F2983"/>
    <mergeCell ref="A3021:F3021"/>
    <mergeCell ref="A3061:F3061"/>
    <mergeCell ref="A3101:F3101"/>
    <mergeCell ref="A3141:F3141"/>
    <mergeCell ref="A3180:F3180"/>
    <mergeCell ref="A3201:F3201"/>
    <mergeCell ref="A3297:B3297"/>
    <mergeCell ref="A3893:F3893"/>
    <mergeCell ref="A3894:F3894"/>
    <mergeCell ref="A3907:F3907"/>
    <mergeCell ref="A3908:F3908"/>
    <mergeCell ref="A3921:F3921"/>
    <mergeCell ref="A3922:F3922"/>
    <mergeCell ref="A3935:F3935"/>
    <mergeCell ref="A3936:F3936"/>
    <mergeCell ref="A4021:F4021"/>
    <mergeCell ref="A4022:F4022"/>
    <mergeCell ref="A4042:F4042"/>
    <mergeCell ref="A4043:F4043"/>
    <mergeCell ref="A4063:F4063"/>
    <mergeCell ref="A4064:F4064"/>
    <mergeCell ref="A4084:F4084"/>
    <mergeCell ref="A4085:F4085"/>
    <mergeCell ref="A4195:B4195"/>
    <mergeCell ref="A4196:B4196"/>
    <mergeCell ref="A4239:B4239"/>
    <mergeCell ref="A4240:B4240"/>
    <mergeCell ref="A4298:B4298"/>
    <mergeCell ref="A4299:B4299"/>
    <mergeCell ref="A4321:B4321"/>
    <mergeCell ref="A4322:B4322"/>
    <mergeCell ref="A4359:B4359"/>
    <mergeCell ref="A4360:B4360"/>
    <mergeCell ref="A4398:B4398"/>
    <mergeCell ref="A4436:B4436"/>
    <mergeCell ref="A4511:B4511"/>
    <mergeCell ref="A4512:B4512"/>
    <mergeCell ref="A4587:F4587"/>
    <mergeCell ref="A4588:F4588"/>
    <mergeCell ref="A4625:F4625"/>
    <mergeCell ref="A4626:F4626"/>
    <mergeCell ref="A4664:F4664"/>
    <mergeCell ref="A4702:F4702"/>
    <mergeCell ref="A4740:F4740"/>
    <mergeCell ref="A4778:F4778"/>
    <mergeCell ref="A4816:F4816"/>
    <mergeCell ref="A4854:F4854"/>
    <mergeCell ref="A4892:F4892"/>
    <mergeCell ref="A4930:F4930"/>
    <mergeCell ref="A5043:F5043"/>
    <mergeCell ref="A5044:F5044"/>
    <mergeCell ref="A5082:F5082"/>
    <mergeCell ref="A5119:F5119"/>
    <mergeCell ref="A5120:F5120"/>
    <mergeCell ref="A5141:B5141"/>
    <mergeCell ref="A5142:B5142"/>
    <mergeCell ref="A5158:F5158"/>
    <mergeCell ref="A5178:F5178"/>
    <mergeCell ref="A5198:F5198"/>
    <mergeCell ref="A5218:F5218"/>
    <mergeCell ref="G5218:L5218"/>
    <mergeCell ref="A5238:F5238"/>
    <mergeCell ref="A5261:F5261"/>
    <mergeCell ref="G5261:L5261"/>
    <mergeCell ref="M5261:R5261"/>
    <mergeCell ref="A5282:F5282"/>
    <mergeCell ref="A5304:F5304"/>
    <mergeCell ref="A5326:F5326"/>
    <mergeCell ref="A5348:F5348"/>
    <mergeCell ref="A5370:F5370"/>
    <mergeCell ref="A5391:F5391"/>
    <mergeCell ref="A5413:F5413"/>
    <mergeCell ref="G5413:L5413"/>
    <mergeCell ref="A5435:F5435"/>
    <mergeCell ref="A5458:F5458"/>
    <mergeCell ref="G5458:L5458"/>
    <mergeCell ref="N5458:S5458"/>
    <mergeCell ref="T5458:Y5458"/>
    <mergeCell ref="A5487:F5487"/>
    <mergeCell ref="A5488:F5488"/>
  </mergeCells>
  <printOptions horizontalCentered="1" verticalCentered="1"/>
  <pageMargins left="0.75" right="0.75" top="0.98" bottom="0.79" header="0.51" footer="0.51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rgb="FFFFC000"/>
  </sheetPr>
  <dimension ref="A1:E74"/>
  <sheetViews>
    <sheetView topLeftCell="A37" workbookViewId="0">
      <selection activeCell="L197" sqref="L197"/>
    </sheetView>
  </sheetViews>
  <sheetFormatPr defaultColWidth="9" defaultRowHeight="14.25" outlineLevelCol="4"/>
  <cols>
    <col min="1" max="1" width="7" customWidth="1"/>
    <col min="2" max="2" width="23.125" customWidth="1"/>
    <col min="3" max="4" width="12.125" customWidth="1"/>
    <col min="5" max="5" width="9.625" customWidth="1"/>
  </cols>
  <sheetData>
    <row r="1" ht="20.1" customHeight="1" spans="1:5">
      <c r="A1" s="654" t="s">
        <v>15</v>
      </c>
      <c r="B1" s="654"/>
      <c r="C1" s="654"/>
      <c r="D1" s="654"/>
      <c r="E1" s="654"/>
    </row>
    <row r="2" ht="20.1" customHeight="1"/>
    <row r="3" ht="20.1" customHeight="1" spans="1:5">
      <c r="A3" s="67" t="s">
        <v>1</v>
      </c>
      <c r="B3" s="67" t="s">
        <v>16</v>
      </c>
      <c r="C3" s="79" t="s">
        <v>17</v>
      </c>
      <c r="D3" s="80"/>
      <c r="E3" s="67" t="s">
        <v>18</v>
      </c>
    </row>
    <row r="4" ht="20.1" customHeight="1" spans="1:5">
      <c r="A4" s="67">
        <v>1</v>
      </c>
      <c r="B4" s="75" t="s">
        <v>19</v>
      </c>
      <c r="C4" s="702"/>
      <c r="D4" s="703"/>
      <c r="E4" s="34">
        <f>E5*C9*C10*C11</f>
        <v>61.8835991348587</v>
      </c>
    </row>
    <row r="5" ht="20.1" customHeight="1" spans="1:5">
      <c r="A5" s="67">
        <v>1.1</v>
      </c>
      <c r="B5" s="75" t="s">
        <v>20</v>
      </c>
      <c r="C5" s="702"/>
      <c r="D5" s="703"/>
      <c r="E5" s="298">
        <f>C8+(C6-C7)/(D7-C7)*(D8-C8)</f>
        <v>80.8935936403381</v>
      </c>
    </row>
    <row r="6" ht="20.1" customHeight="1" spans="1:5">
      <c r="A6" s="75"/>
      <c r="B6" s="73" t="s">
        <v>21</v>
      </c>
      <c r="C6" s="251">
        <f>总概算核!J16</f>
        <v>3130.84747729921</v>
      </c>
      <c r="D6" s="274"/>
      <c r="E6" s="8"/>
    </row>
    <row r="7" ht="20.1" customHeight="1" spans="1:5">
      <c r="A7" s="67"/>
      <c r="B7" s="704" t="s">
        <v>22</v>
      </c>
      <c r="C7" s="123">
        <v>3000</v>
      </c>
      <c r="D7" s="123">
        <v>5000</v>
      </c>
      <c r="E7" s="705"/>
    </row>
    <row r="8" ht="20.1" customHeight="1" spans="1:5">
      <c r="A8" s="67"/>
      <c r="B8" s="704" t="s">
        <v>23</v>
      </c>
      <c r="C8" s="7">
        <v>78.1</v>
      </c>
      <c r="D8" s="42">
        <v>120.8</v>
      </c>
      <c r="E8" s="705"/>
    </row>
    <row r="9" ht="20.1" customHeight="1" spans="1:5">
      <c r="A9" s="67">
        <v>1.2</v>
      </c>
      <c r="B9" s="75" t="s">
        <v>24</v>
      </c>
      <c r="C9" s="706">
        <v>0.9</v>
      </c>
      <c r="D9" s="707"/>
      <c r="E9" s="708"/>
    </row>
    <row r="10" ht="20.1" customHeight="1" spans="1:5">
      <c r="A10" s="67">
        <v>1.3</v>
      </c>
      <c r="B10" s="75" t="s">
        <v>25</v>
      </c>
      <c r="C10" s="709">
        <v>0.85</v>
      </c>
      <c r="D10" s="710"/>
      <c r="E10" s="8"/>
    </row>
    <row r="11" ht="20.1" customHeight="1" spans="1:5">
      <c r="A11" s="67">
        <v>1.4</v>
      </c>
      <c r="B11" s="75" t="s">
        <v>26</v>
      </c>
      <c r="C11" s="706">
        <v>1</v>
      </c>
      <c r="D11" s="707"/>
      <c r="E11" s="8"/>
    </row>
    <row r="12" ht="20.1" customHeight="1" spans="1:5">
      <c r="A12" s="75"/>
      <c r="B12" s="75"/>
      <c r="C12" s="146"/>
      <c r="D12" s="147"/>
      <c r="E12" s="8"/>
    </row>
    <row r="13" ht="20.1" customHeight="1" spans="1:5">
      <c r="A13" s="67">
        <v>2</v>
      </c>
      <c r="B13" s="75" t="s">
        <v>27</v>
      </c>
      <c r="C13" s="711"/>
      <c r="D13" s="712"/>
      <c r="E13" s="38">
        <f>E4*C13</f>
        <v>0</v>
      </c>
    </row>
    <row r="14" ht="20.1" customHeight="1" spans="1:5">
      <c r="A14" s="75"/>
      <c r="B14" s="75"/>
      <c r="C14" s="146"/>
      <c r="D14" s="147"/>
      <c r="E14" s="8"/>
    </row>
    <row r="15" ht="20.1" customHeight="1" spans="1:5">
      <c r="A15" s="75"/>
      <c r="B15" s="517" t="s">
        <v>28</v>
      </c>
      <c r="C15" s="713">
        <f>E15/C6</f>
        <v>0.0197657661650902</v>
      </c>
      <c r="D15" s="714"/>
      <c r="E15" s="715">
        <f>E4*(1+C13)</f>
        <v>61.8835991348587</v>
      </c>
    </row>
    <row r="16" ht="20.1" customHeight="1" spans="1:5">
      <c r="A16" s="75"/>
      <c r="B16" s="75"/>
      <c r="C16" s="79"/>
      <c r="D16" s="80"/>
      <c r="E16" s="75"/>
    </row>
    <row r="17" ht="41.25" customHeight="1" spans="1:5">
      <c r="A17" s="716" t="s">
        <v>29</v>
      </c>
      <c r="B17" s="717"/>
      <c r="C17" s="717"/>
      <c r="D17" s="717"/>
      <c r="E17" s="717"/>
    </row>
    <row r="19" ht="20.25" spans="1:5">
      <c r="A19" s="654" t="s">
        <v>30</v>
      </c>
      <c r="B19" s="654"/>
      <c r="C19" s="654"/>
      <c r="D19" s="654"/>
      <c r="E19" s="654"/>
    </row>
    <row r="21" spans="1:5">
      <c r="A21" s="67" t="s">
        <v>1</v>
      </c>
      <c r="B21" s="67" t="s">
        <v>16</v>
      </c>
      <c r="C21" s="79" t="s">
        <v>17</v>
      </c>
      <c r="D21" s="80"/>
      <c r="E21" s="67" t="s">
        <v>18</v>
      </c>
    </row>
    <row r="22" spans="1:5">
      <c r="A22" s="67">
        <v>1</v>
      </c>
      <c r="B22" s="75" t="s">
        <v>19</v>
      </c>
      <c r="C22" s="702"/>
      <c r="D22" s="703"/>
      <c r="E22" s="34">
        <f>E23*C27*C28*C29</f>
        <v>16.3688729325715</v>
      </c>
    </row>
    <row r="23" spans="1:5">
      <c r="A23" s="67">
        <v>1.1</v>
      </c>
      <c r="B23" s="75" t="s">
        <v>20</v>
      </c>
      <c r="C23" s="702"/>
      <c r="D23" s="703"/>
      <c r="E23" s="298">
        <f>C26+(C24-C25)/(D25-C25)*(D26-C26)</f>
        <v>21.3972195197014</v>
      </c>
    </row>
    <row r="24" spans="1:5">
      <c r="A24" s="75"/>
      <c r="B24" s="73" t="s">
        <v>21</v>
      </c>
      <c r="C24" s="251">
        <f>'总（姚伏）'!F16</f>
        <v>680.044835283138</v>
      </c>
      <c r="D24" s="274"/>
      <c r="E24" s="8"/>
    </row>
    <row r="25" spans="1:5">
      <c r="A25" s="67"/>
      <c r="B25" s="704" t="s">
        <v>22</v>
      </c>
      <c r="C25" s="123">
        <v>500</v>
      </c>
      <c r="D25" s="123">
        <v>1000</v>
      </c>
      <c r="E25" s="705"/>
    </row>
    <row r="26" spans="1:5">
      <c r="A26" s="67"/>
      <c r="B26" s="704" t="s">
        <v>23</v>
      </c>
      <c r="C26" s="7">
        <v>16.5</v>
      </c>
      <c r="D26" s="42">
        <v>30.1</v>
      </c>
      <c r="E26" s="705"/>
    </row>
    <row r="27" spans="1:5">
      <c r="A27" s="67">
        <v>1.2</v>
      </c>
      <c r="B27" s="75" t="s">
        <v>24</v>
      </c>
      <c r="C27" s="706">
        <v>0.9</v>
      </c>
      <c r="D27" s="707"/>
      <c r="E27" s="708"/>
    </row>
    <row r="28" spans="1:5">
      <c r="A28" s="67">
        <v>1.3</v>
      </c>
      <c r="B28" s="75" t="s">
        <v>25</v>
      </c>
      <c r="C28" s="709">
        <v>0.85</v>
      </c>
      <c r="D28" s="710"/>
      <c r="E28" s="8"/>
    </row>
    <row r="29" spans="1:5">
      <c r="A29" s="67">
        <v>1.4</v>
      </c>
      <c r="B29" s="75" t="s">
        <v>26</v>
      </c>
      <c r="C29" s="706">
        <v>1</v>
      </c>
      <c r="D29" s="707"/>
      <c r="E29" s="8"/>
    </row>
    <row r="30" spans="1:5">
      <c r="A30" s="75"/>
      <c r="B30" s="75"/>
      <c r="C30" s="146"/>
      <c r="D30" s="147"/>
      <c r="E30" s="8"/>
    </row>
    <row r="31" spans="1:5">
      <c r="A31" s="67">
        <v>2</v>
      </c>
      <c r="B31" s="75" t="s">
        <v>27</v>
      </c>
      <c r="C31" s="711"/>
      <c r="D31" s="712"/>
      <c r="E31" s="38">
        <f>E22*C31</f>
        <v>0</v>
      </c>
    </row>
    <row r="32" spans="1:5">
      <c r="A32" s="75"/>
      <c r="B32" s="75"/>
      <c r="C32" s="146"/>
      <c r="D32" s="147"/>
      <c r="E32" s="8"/>
    </row>
    <row r="33" spans="1:5">
      <c r="A33" s="75"/>
      <c r="B33" s="517" t="s">
        <v>28</v>
      </c>
      <c r="C33" s="713">
        <f>E33/C24</f>
        <v>0.0240702849037245</v>
      </c>
      <c r="D33" s="714"/>
      <c r="E33" s="715">
        <f>E22*(1+C31)</f>
        <v>16.3688729325715</v>
      </c>
    </row>
    <row r="34" spans="1:5">
      <c r="A34" s="75"/>
      <c r="B34" s="75"/>
      <c r="C34" s="79"/>
      <c r="D34" s="80"/>
      <c r="E34" s="75"/>
    </row>
    <row r="35" spans="1:5">
      <c r="A35" s="716" t="s">
        <v>29</v>
      </c>
      <c r="B35" s="717"/>
      <c r="C35" s="717"/>
      <c r="D35" s="717"/>
      <c r="E35" s="717"/>
    </row>
    <row r="38" ht="20.25" spans="1:5">
      <c r="A38" s="654" t="s">
        <v>31</v>
      </c>
      <c r="B38" s="654"/>
      <c r="C38" s="654"/>
      <c r="D38" s="654"/>
      <c r="E38" s="654"/>
    </row>
    <row r="40" spans="1:5">
      <c r="A40" s="67" t="s">
        <v>1</v>
      </c>
      <c r="B40" s="67" t="s">
        <v>16</v>
      </c>
      <c r="C40" s="79" t="s">
        <v>17</v>
      </c>
      <c r="D40" s="80"/>
      <c r="E40" s="67" t="s">
        <v>18</v>
      </c>
    </row>
    <row r="41" spans="1:5">
      <c r="A41" s="67">
        <v>1</v>
      </c>
      <c r="B41" s="75" t="s">
        <v>19</v>
      </c>
      <c r="C41" s="702"/>
      <c r="D41" s="703"/>
      <c r="E41" s="34">
        <f>E42*C46*C47*C48</f>
        <v>13.7554703120231</v>
      </c>
    </row>
    <row r="42" spans="1:5">
      <c r="A42" s="67">
        <v>1.1</v>
      </c>
      <c r="B42" s="75" t="s">
        <v>20</v>
      </c>
      <c r="C42" s="702"/>
      <c r="D42" s="703"/>
      <c r="E42" s="298">
        <f>C45+(C43-C44)/(D44-C44)*(D45-C45)</f>
        <v>17.981006943821</v>
      </c>
    </row>
    <row r="43" spans="1:5">
      <c r="A43" s="75"/>
      <c r="B43" s="73" t="s">
        <v>21</v>
      </c>
      <c r="C43" s="251">
        <f>'总（城关）'!F16</f>
        <v>554.448784699301</v>
      </c>
      <c r="D43" s="274"/>
      <c r="E43" s="8"/>
    </row>
    <row r="44" spans="1:5">
      <c r="A44" s="67"/>
      <c r="B44" s="704" t="s">
        <v>22</v>
      </c>
      <c r="C44" s="123">
        <v>500</v>
      </c>
      <c r="D44" s="123">
        <v>1000</v>
      </c>
      <c r="E44" s="705"/>
    </row>
    <row r="45" spans="1:5">
      <c r="A45" s="67"/>
      <c r="B45" s="704" t="s">
        <v>23</v>
      </c>
      <c r="C45" s="7">
        <v>16.5</v>
      </c>
      <c r="D45" s="42">
        <v>30.1</v>
      </c>
      <c r="E45" s="705"/>
    </row>
    <row r="46" spans="1:5">
      <c r="A46" s="67">
        <v>1.2</v>
      </c>
      <c r="B46" s="75" t="s">
        <v>24</v>
      </c>
      <c r="C46" s="706">
        <v>0.9</v>
      </c>
      <c r="D46" s="707"/>
      <c r="E46" s="708"/>
    </row>
    <row r="47" spans="1:5">
      <c r="A47" s="67">
        <v>1.3</v>
      </c>
      <c r="B47" s="75" t="s">
        <v>25</v>
      </c>
      <c r="C47" s="709">
        <v>0.85</v>
      </c>
      <c r="D47" s="710"/>
      <c r="E47" s="8"/>
    </row>
    <row r="48" spans="1:5">
      <c r="A48" s="67">
        <v>1.4</v>
      </c>
      <c r="B48" s="75" t="s">
        <v>26</v>
      </c>
      <c r="C48" s="706">
        <v>1</v>
      </c>
      <c r="D48" s="707"/>
      <c r="E48" s="8"/>
    </row>
    <row r="49" spans="1:5">
      <c r="A49" s="75"/>
      <c r="B49" s="75"/>
      <c r="C49" s="146"/>
      <c r="D49" s="147"/>
      <c r="E49" s="8"/>
    </row>
    <row r="50" spans="1:5">
      <c r="A50" s="67">
        <v>2</v>
      </c>
      <c r="B50" s="75" t="s">
        <v>27</v>
      </c>
      <c r="C50" s="711"/>
      <c r="D50" s="712"/>
      <c r="E50" s="38">
        <f>E41*C50</f>
        <v>0</v>
      </c>
    </row>
    <row r="51" spans="1:5">
      <c r="A51" s="75"/>
      <c r="B51" s="75"/>
      <c r="C51" s="146"/>
      <c r="D51" s="147"/>
      <c r="E51" s="8"/>
    </row>
    <row r="52" spans="1:5">
      <c r="A52" s="75"/>
      <c r="B52" s="517" t="s">
        <v>28</v>
      </c>
      <c r="C52" s="713">
        <f>E52/C43</f>
        <v>0.0248092712827988</v>
      </c>
      <c r="D52" s="714"/>
      <c r="E52" s="715">
        <f>E41*(1+C50)</f>
        <v>13.7554703120231</v>
      </c>
    </row>
    <row r="53" spans="1:5">
      <c r="A53" s="75"/>
      <c r="B53" s="75"/>
      <c r="C53" s="79"/>
      <c r="D53" s="80"/>
      <c r="E53" s="75"/>
    </row>
    <row r="54" spans="1:5">
      <c r="A54" s="716" t="s">
        <v>29</v>
      </c>
      <c r="B54" s="717"/>
      <c r="C54" s="717"/>
      <c r="D54" s="717"/>
      <c r="E54" s="717"/>
    </row>
    <row r="58" ht="20.25" spans="1:5">
      <c r="A58" s="654" t="s">
        <v>32</v>
      </c>
      <c r="B58" s="654"/>
      <c r="C58" s="654"/>
      <c r="D58" s="654"/>
      <c r="E58" s="654"/>
    </row>
    <row r="60" spans="1:5">
      <c r="A60" s="67" t="s">
        <v>1</v>
      </c>
      <c r="B60" s="67" t="s">
        <v>16</v>
      </c>
      <c r="C60" s="79" t="s">
        <v>17</v>
      </c>
      <c r="D60" s="80"/>
      <c r="E60" s="67" t="s">
        <v>18</v>
      </c>
    </row>
    <row r="61" spans="1:5">
      <c r="A61" s="67">
        <v>1</v>
      </c>
      <c r="B61" s="75" t="s">
        <v>19</v>
      </c>
      <c r="C61" s="702"/>
      <c r="D61" s="703"/>
      <c r="E61" s="34">
        <f>E62*C66*C67*C68</f>
        <v>39.866103400814</v>
      </c>
    </row>
    <row r="62" spans="1:5">
      <c r="A62" s="67">
        <v>1.1</v>
      </c>
      <c r="B62" s="75" t="s">
        <v>20</v>
      </c>
      <c r="C62" s="702"/>
      <c r="D62" s="703"/>
      <c r="E62" s="298">
        <f>C65+(C63-C64)/(D64-C64)*(D65-C65)</f>
        <v>52.1125534651163</v>
      </c>
    </row>
    <row r="63" spans="1:5">
      <c r="A63" s="75"/>
      <c r="B63" s="73" t="s">
        <v>21</v>
      </c>
      <c r="C63" s="251">
        <f>'总（高庄）'!F16</f>
        <v>1917.18972771318</v>
      </c>
      <c r="D63" s="274"/>
      <c r="E63" s="8"/>
    </row>
    <row r="64" spans="1:5">
      <c r="A64" s="67"/>
      <c r="B64" s="704" t="s">
        <v>22</v>
      </c>
      <c r="C64" s="123">
        <v>1000</v>
      </c>
      <c r="D64" s="123">
        <v>3000</v>
      </c>
      <c r="E64" s="705"/>
    </row>
    <row r="65" spans="1:5">
      <c r="A65" s="67"/>
      <c r="B65" s="704" t="s">
        <v>23</v>
      </c>
      <c r="C65" s="7">
        <v>30.1</v>
      </c>
      <c r="D65" s="42">
        <v>78.1</v>
      </c>
      <c r="E65" s="705"/>
    </row>
    <row r="66" spans="1:5">
      <c r="A66" s="67">
        <v>1.2</v>
      </c>
      <c r="B66" s="75" t="s">
        <v>24</v>
      </c>
      <c r="C66" s="706">
        <v>0.9</v>
      </c>
      <c r="D66" s="707"/>
      <c r="E66" s="708"/>
    </row>
    <row r="67" spans="1:5">
      <c r="A67" s="67">
        <v>1.3</v>
      </c>
      <c r="B67" s="75" t="s">
        <v>25</v>
      </c>
      <c r="C67" s="709">
        <v>0.85</v>
      </c>
      <c r="D67" s="710"/>
      <c r="E67" s="8"/>
    </row>
    <row r="68" spans="1:5">
      <c r="A68" s="67">
        <v>1.4</v>
      </c>
      <c r="B68" s="75" t="s">
        <v>26</v>
      </c>
      <c r="C68" s="706">
        <v>1</v>
      </c>
      <c r="D68" s="707"/>
      <c r="E68" s="8"/>
    </row>
    <row r="69" spans="1:5">
      <c r="A69" s="75"/>
      <c r="B69" s="75"/>
      <c r="C69" s="146"/>
      <c r="D69" s="147"/>
      <c r="E69" s="8"/>
    </row>
    <row r="70" spans="1:5">
      <c r="A70" s="67">
        <v>2</v>
      </c>
      <c r="B70" s="75" t="s">
        <v>27</v>
      </c>
      <c r="C70" s="711"/>
      <c r="D70" s="712"/>
      <c r="E70" s="38">
        <f>E61*C70</f>
        <v>0</v>
      </c>
    </row>
    <row r="71" spans="1:5">
      <c r="A71" s="75"/>
      <c r="B71" s="75"/>
      <c r="C71" s="146"/>
      <c r="D71" s="147"/>
      <c r="E71" s="8"/>
    </row>
    <row r="72" spans="1:5">
      <c r="A72" s="75"/>
      <c r="B72" s="517" t="s">
        <v>28</v>
      </c>
      <c r="C72" s="713">
        <f>E72/C63</f>
        <v>0.0207940314015589</v>
      </c>
      <c r="D72" s="714"/>
      <c r="E72" s="715">
        <f>E61*(1+C70)</f>
        <v>39.866103400814</v>
      </c>
    </row>
    <row r="73" spans="1:5">
      <c r="A73" s="75"/>
      <c r="B73" s="75"/>
      <c r="C73" s="79"/>
      <c r="D73" s="80"/>
      <c r="E73" s="75"/>
    </row>
    <row r="74" spans="1:5">
      <c r="A74" s="716" t="s">
        <v>29</v>
      </c>
      <c r="B74" s="717"/>
      <c r="C74" s="717"/>
      <c r="D74" s="717"/>
      <c r="E74" s="717"/>
    </row>
  </sheetData>
  <sheetProtection formatCells="0" insertHyperlinks="0" autoFilter="0"/>
  <mergeCells count="56">
    <mergeCell ref="A1:E1"/>
    <mergeCell ref="C3:D3"/>
    <mergeCell ref="C4:D4"/>
    <mergeCell ref="C5:D5"/>
    <mergeCell ref="C6:D6"/>
    <mergeCell ref="C9:D9"/>
    <mergeCell ref="C10:D10"/>
    <mergeCell ref="C11:D11"/>
    <mergeCell ref="C12:D12"/>
    <mergeCell ref="C13:D13"/>
    <mergeCell ref="C14:D14"/>
    <mergeCell ref="C15:D15"/>
    <mergeCell ref="C16:D16"/>
    <mergeCell ref="A17:E17"/>
    <mergeCell ref="A19:E19"/>
    <mergeCell ref="C21:D21"/>
    <mergeCell ref="C22:D22"/>
    <mergeCell ref="C23:D23"/>
    <mergeCell ref="C24:D24"/>
    <mergeCell ref="C27:D27"/>
    <mergeCell ref="C28:D28"/>
    <mergeCell ref="C29:D29"/>
    <mergeCell ref="C30:D30"/>
    <mergeCell ref="C31:D31"/>
    <mergeCell ref="C32:D32"/>
    <mergeCell ref="C33:D33"/>
    <mergeCell ref="C34:D34"/>
    <mergeCell ref="A35:E35"/>
    <mergeCell ref="A38:E38"/>
    <mergeCell ref="C40:D40"/>
    <mergeCell ref="C41:D41"/>
    <mergeCell ref="C42:D42"/>
    <mergeCell ref="C43:D43"/>
    <mergeCell ref="C46:D46"/>
    <mergeCell ref="C47:D47"/>
    <mergeCell ref="C48:D48"/>
    <mergeCell ref="C49:D49"/>
    <mergeCell ref="C50:D50"/>
    <mergeCell ref="C51:D51"/>
    <mergeCell ref="C52:D52"/>
    <mergeCell ref="C53:D53"/>
    <mergeCell ref="A54:E54"/>
    <mergeCell ref="A58:E58"/>
    <mergeCell ref="C60:D60"/>
    <mergeCell ref="C61:D61"/>
    <mergeCell ref="C62:D62"/>
    <mergeCell ref="C63:D63"/>
    <mergeCell ref="C66:D66"/>
    <mergeCell ref="C67:D67"/>
    <mergeCell ref="C68:D68"/>
    <mergeCell ref="C69:D69"/>
    <mergeCell ref="C70:D70"/>
    <mergeCell ref="C71:D71"/>
    <mergeCell ref="C72:D72"/>
    <mergeCell ref="C73:D73"/>
    <mergeCell ref="A74:E74"/>
  </mergeCells>
  <pageMargins left="0.75" right="0.75" top="1" bottom="1" header="0.5" footer="0.5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AG55"/>
  <sheetViews>
    <sheetView workbookViewId="0">
      <selection activeCell="D40" sqref="D40"/>
    </sheetView>
  </sheetViews>
  <sheetFormatPr defaultColWidth="9" defaultRowHeight="14.25"/>
  <sheetData>
    <row r="1" s="162" customFormat="1" ht="18.75" spans="1:33">
      <c r="A1" s="163" t="s">
        <v>1439</v>
      </c>
      <c r="B1" s="163"/>
      <c r="C1" s="164"/>
      <c r="D1" s="164"/>
      <c r="E1" s="164"/>
      <c r="F1" s="164"/>
      <c r="G1" s="164"/>
      <c r="H1" s="164"/>
      <c r="I1" s="164"/>
      <c r="J1" s="163" t="s">
        <v>1439</v>
      </c>
      <c r="K1" s="163"/>
      <c r="L1" s="164"/>
      <c r="M1" s="164"/>
      <c r="N1" s="164"/>
      <c r="O1" s="164"/>
      <c r="P1" s="164"/>
      <c r="Q1" s="164"/>
      <c r="R1" s="164"/>
      <c r="S1" s="202" t="s">
        <v>1440</v>
      </c>
      <c r="T1" s="202"/>
      <c r="U1" s="203"/>
      <c r="V1" s="203"/>
      <c r="W1" s="203"/>
      <c r="X1" s="203"/>
      <c r="Y1" s="203"/>
      <c r="Z1" s="203" t="s">
        <v>1441</v>
      </c>
      <c r="AA1" s="203"/>
      <c r="AB1" s="174"/>
      <c r="AC1" s="174"/>
      <c r="AD1" s="174"/>
      <c r="AE1" s="174"/>
      <c r="AF1" s="174"/>
      <c r="AG1" s="174"/>
    </row>
    <row r="2" s="162" customFormat="1" spans="1:33">
      <c r="A2" s="165"/>
      <c r="B2" s="165"/>
      <c r="C2" s="165"/>
      <c r="D2" s="165"/>
      <c r="E2" s="166" t="s">
        <v>1442</v>
      </c>
      <c r="F2" s="167">
        <v>11000</v>
      </c>
      <c r="G2" s="165" t="s">
        <v>1443</v>
      </c>
      <c r="H2" s="165" t="s">
        <v>1444</v>
      </c>
      <c r="I2" s="165"/>
      <c r="J2" s="165"/>
      <c r="K2" s="165"/>
      <c r="L2" s="165"/>
      <c r="M2" s="165"/>
      <c r="N2" s="166" t="s">
        <v>1442</v>
      </c>
      <c r="O2" s="167">
        <f>F2</f>
        <v>11000</v>
      </c>
      <c r="P2" s="165" t="s">
        <v>1443</v>
      </c>
      <c r="Q2" s="165" t="s">
        <v>1445</v>
      </c>
      <c r="R2" s="165">
        <f>O2/1000*AA5</f>
        <v>2.2913</v>
      </c>
      <c r="S2" s="204"/>
      <c r="T2" s="204"/>
      <c r="U2" s="203"/>
      <c r="V2" s="203"/>
      <c r="W2" s="203"/>
      <c r="X2" s="203"/>
      <c r="Y2" s="203"/>
      <c r="Z2" s="203"/>
      <c r="AA2" s="203"/>
      <c r="AB2" s="174"/>
      <c r="AC2" s="174"/>
      <c r="AD2" s="174"/>
      <c r="AE2" s="174"/>
      <c r="AF2" s="174"/>
      <c r="AG2" s="174"/>
    </row>
    <row r="3" s="162" customFormat="1" spans="1:33">
      <c r="A3" s="168" t="s">
        <v>1446</v>
      </c>
      <c r="B3" s="168"/>
      <c r="C3" s="168" t="s">
        <v>1447</v>
      </c>
      <c r="D3" s="168"/>
      <c r="E3" s="168"/>
      <c r="F3" s="168"/>
      <c r="G3" s="168"/>
      <c r="H3" s="168"/>
      <c r="I3" s="168"/>
      <c r="J3" s="168" t="s">
        <v>1446</v>
      </c>
      <c r="K3" s="168"/>
      <c r="L3" s="168" t="s">
        <v>1447</v>
      </c>
      <c r="M3" s="168"/>
      <c r="N3" s="168"/>
      <c r="O3" s="168"/>
      <c r="P3" s="168"/>
      <c r="Q3" s="168"/>
      <c r="R3" s="168"/>
      <c r="S3" s="205" t="s">
        <v>1448</v>
      </c>
      <c r="T3" s="206" t="s">
        <v>1449</v>
      </c>
      <c r="U3" s="207"/>
      <c r="V3" s="207"/>
      <c r="W3" s="207"/>
      <c r="X3" s="207"/>
      <c r="Y3" s="207"/>
      <c r="Z3" s="207"/>
      <c r="AA3" s="215"/>
      <c r="AB3" s="174"/>
      <c r="AC3" s="174"/>
      <c r="AD3" s="174"/>
      <c r="AE3" s="174"/>
      <c r="AF3" s="174"/>
      <c r="AG3" s="174"/>
    </row>
    <row r="4" s="162" customFormat="1" spans="1:33">
      <c r="A4" s="168"/>
      <c r="B4" s="169" t="s">
        <v>1450</v>
      </c>
      <c r="C4" s="170" t="s">
        <v>1451</v>
      </c>
      <c r="D4" s="170" t="s">
        <v>1452</v>
      </c>
      <c r="E4" s="170" t="s">
        <v>1453</v>
      </c>
      <c r="F4" s="170" t="s">
        <v>1454</v>
      </c>
      <c r="G4" s="170" t="s">
        <v>1455</v>
      </c>
      <c r="H4" s="170" t="s">
        <v>1456</v>
      </c>
      <c r="I4" s="170" t="s">
        <v>1457</v>
      </c>
      <c r="J4" s="168"/>
      <c r="K4" s="185" t="s">
        <v>1450</v>
      </c>
      <c r="L4" s="170" t="s">
        <v>1451</v>
      </c>
      <c r="M4" s="170" t="s">
        <v>1452</v>
      </c>
      <c r="N4" s="170" t="s">
        <v>1453</v>
      </c>
      <c r="O4" s="170" t="s">
        <v>1454</v>
      </c>
      <c r="P4" s="170" t="s">
        <v>1455</v>
      </c>
      <c r="Q4" s="170" t="s">
        <v>1456</v>
      </c>
      <c r="R4" s="170" t="s">
        <v>1457</v>
      </c>
      <c r="S4" s="208"/>
      <c r="T4" s="185" t="s">
        <v>1450</v>
      </c>
      <c r="U4" s="185" t="s">
        <v>1451</v>
      </c>
      <c r="V4" s="185" t="s">
        <v>1452</v>
      </c>
      <c r="W4" s="185" t="s">
        <v>1453</v>
      </c>
      <c r="X4" s="185" t="s">
        <v>1454</v>
      </c>
      <c r="Y4" s="185" t="s">
        <v>1455</v>
      </c>
      <c r="Z4" s="185" t="s">
        <v>1456</v>
      </c>
      <c r="AA4" s="185" t="s">
        <v>1457</v>
      </c>
      <c r="AB4" s="174"/>
      <c r="AC4" s="174"/>
      <c r="AD4" s="174"/>
      <c r="AE4" s="174"/>
      <c r="AF4" s="174"/>
      <c r="AG4" s="174"/>
    </row>
    <row r="5" s="162" customFormat="1" ht="15" spans="1:33">
      <c r="A5" s="168" t="s">
        <v>1458</v>
      </c>
      <c r="B5" s="168"/>
      <c r="C5" s="171"/>
      <c r="D5" s="171"/>
      <c r="E5" s="171"/>
      <c r="F5" s="171"/>
      <c r="G5" s="171"/>
      <c r="H5" s="172">
        <f>Q5*1000</f>
        <v>2020</v>
      </c>
      <c r="I5" s="172">
        <f>R5*1000</f>
        <v>2290</v>
      </c>
      <c r="J5" s="168" t="s">
        <v>1458</v>
      </c>
      <c r="K5" s="168"/>
      <c r="L5" s="171"/>
      <c r="M5" s="171"/>
      <c r="N5" s="171"/>
      <c r="O5" s="171"/>
      <c r="P5" s="171"/>
      <c r="Q5" s="186">
        <f>ROUND($O$2*Z5/1000,2)</f>
        <v>2.02</v>
      </c>
      <c r="R5" s="209">
        <f>ROUND($O$2*AA5/1000,2)</f>
        <v>2.29</v>
      </c>
      <c r="S5" s="185" t="s">
        <v>1458</v>
      </c>
      <c r="T5" s="185"/>
      <c r="U5" s="210"/>
      <c r="V5" s="210"/>
      <c r="W5" s="210"/>
      <c r="X5" s="210"/>
      <c r="Y5" s="210"/>
      <c r="Z5" s="210">
        <v>0.1833</v>
      </c>
      <c r="AA5" s="210">
        <v>0.2083</v>
      </c>
      <c r="AB5" s="174"/>
      <c r="AC5" s="174"/>
      <c r="AD5" s="174"/>
      <c r="AE5" s="174"/>
      <c r="AF5" s="174"/>
      <c r="AG5" s="174"/>
    </row>
    <row r="6" s="162" customFormat="1" ht="15" spans="1:33">
      <c r="A6" s="168" t="s">
        <v>1459</v>
      </c>
      <c r="B6" s="168"/>
      <c r="C6" s="171"/>
      <c r="D6" s="171"/>
      <c r="E6" s="171"/>
      <c r="F6" s="171"/>
      <c r="G6" s="172">
        <f t="shared" ref="G6:I6" si="0">P6*1000</f>
        <v>2540</v>
      </c>
      <c r="H6" s="172">
        <f t="shared" si="0"/>
        <v>2950</v>
      </c>
      <c r="I6" s="172">
        <f t="shared" si="0"/>
        <v>3450</v>
      </c>
      <c r="J6" s="168" t="s">
        <v>1459</v>
      </c>
      <c r="K6" s="168"/>
      <c r="L6" s="171"/>
      <c r="M6" s="171"/>
      <c r="N6" s="171"/>
      <c r="O6" s="171"/>
      <c r="P6" s="186">
        <f t="shared" ref="P6:R6" si="1">ROUND($O$2*Y6/1000,2)</f>
        <v>2.54</v>
      </c>
      <c r="Q6" s="186">
        <f t="shared" si="1"/>
        <v>2.95</v>
      </c>
      <c r="R6" s="186">
        <f t="shared" si="1"/>
        <v>3.45</v>
      </c>
      <c r="S6" s="185" t="s">
        <v>1459</v>
      </c>
      <c r="T6" s="185"/>
      <c r="U6" s="210"/>
      <c r="V6" s="210"/>
      <c r="W6" s="210"/>
      <c r="X6" s="210"/>
      <c r="Y6" s="210">
        <v>0.2311</v>
      </c>
      <c r="Z6" s="210">
        <v>0.268</v>
      </c>
      <c r="AA6" s="210">
        <v>0.3135</v>
      </c>
      <c r="AB6" s="174"/>
      <c r="AC6" s="174"/>
      <c r="AD6" s="174"/>
      <c r="AE6" s="174"/>
      <c r="AF6" s="174"/>
      <c r="AG6" s="174"/>
    </row>
    <row r="7" s="162" customFormat="1" ht="15" spans="1:33">
      <c r="A7" s="168" t="s">
        <v>1460</v>
      </c>
      <c r="B7" s="168"/>
      <c r="C7" s="171"/>
      <c r="D7" s="171"/>
      <c r="E7" s="171"/>
      <c r="F7" s="172">
        <f t="shared" ref="F7:I7" si="2">O7*1000</f>
        <v>3330</v>
      </c>
      <c r="G7" s="172">
        <f t="shared" si="2"/>
        <v>3950</v>
      </c>
      <c r="H7" s="172">
        <f t="shared" si="2"/>
        <v>4680</v>
      </c>
      <c r="I7" s="172">
        <f t="shared" si="2"/>
        <v>5650</v>
      </c>
      <c r="J7" s="168" t="s">
        <v>1460</v>
      </c>
      <c r="K7" s="168"/>
      <c r="L7" s="171"/>
      <c r="M7" s="171"/>
      <c r="N7" s="171"/>
      <c r="O7" s="186">
        <f t="shared" ref="O7:R7" si="3">ROUND($O$2*X7/1000,2)</f>
        <v>3.33</v>
      </c>
      <c r="P7" s="186">
        <f t="shared" si="3"/>
        <v>3.95</v>
      </c>
      <c r="Q7" s="186">
        <f t="shared" si="3"/>
        <v>4.68</v>
      </c>
      <c r="R7" s="186">
        <f t="shared" si="3"/>
        <v>5.65</v>
      </c>
      <c r="S7" s="185" t="s">
        <v>1460</v>
      </c>
      <c r="T7" s="185"/>
      <c r="U7" s="210"/>
      <c r="V7" s="210"/>
      <c r="W7" s="210"/>
      <c r="X7" s="210">
        <v>0.3026</v>
      </c>
      <c r="Y7" s="210">
        <v>0.3589</v>
      </c>
      <c r="Z7" s="210">
        <v>0.4258</v>
      </c>
      <c r="AA7" s="210">
        <v>0.5134</v>
      </c>
      <c r="AB7" s="174"/>
      <c r="AC7" s="174"/>
      <c r="AD7" s="174"/>
      <c r="AE7" s="174"/>
      <c r="AF7" s="174"/>
      <c r="AG7" s="174"/>
    </row>
    <row r="8" s="162" customFormat="1" ht="15" spans="1:33">
      <c r="A8" s="168" t="s">
        <v>1461</v>
      </c>
      <c r="B8" s="168"/>
      <c r="C8" s="171"/>
      <c r="D8" s="171"/>
      <c r="E8" s="172">
        <f t="shared" ref="E8:I8" si="4">N8*1000</f>
        <v>4230</v>
      </c>
      <c r="F8" s="172">
        <f t="shared" si="4"/>
        <v>5030</v>
      </c>
      <c r="G8" s="172">
        <f t="shared" si="4"/>
        <v>6070</v>
      </c>
      <c r="H8" s="172">
        <f t="shared" si="4"/>
        <v>7440</v>
      </c>
      <c r="I8" s="172">
        <f t="shared" si="4"/>
        <v>8810</v>
      </c>
      <c r="J8" s="168" t="s">
        <v>1461</v>
      </c>
      <c r="K8" s="168"/>
      <c r="L8" s="171"/>
      <c r="M8" s="171"/>
      <c r="N8" s="186">
        <f t="shared" ref="N8:R8" si="5">ROUND($O$2*W8/1000,2)</f>
        <v>4.23</v>
      </c>
      <c r="O8" s="186">
        <f t="shared" si="5"/>
        <v>5.03</v>
      </c>
      <c r="P8" s="186">
        <f t="shared" si="5"/>
        <v>6.07</v>
      </c>
      <c r="Q8" s="186">
        <f t="shared" si="5"/>
        <v>7.44</v>
      </c>
      <c r="R8" s="186">
        <f t="shared" si="5"/>
        <v>8.81</v>
      </c>
      <c r="S8" s="185" t="s">
        <v>1461</v>
      </c>
      <c r="T8" s="185"/>
      <c r="U8" s="210"/>
      <c r="V8" s="210"/>
      <c r="W8" s="210">
        <v>0.3841</v>
      </c>
      <c r="X8" s="210">
        <v>0.4574</v>
      </c>
      <c r="Y8" s="210">
        <v>0.5521</v>
      </c>
      <c r="Z8" s="210">
        <v>0.6761</v>
      </c>
      <c r="AA8" s="210">
        <v>0.8005</v>
      </c>
      <c r="AB8" s="174"/>
      <c r="AC8" s="174"/>
      <c r="AD8" s="174"/>
      <c r="AE8" s="174"/>
      <c r="AF8" s="174"/>
      <c r="AG8" s="174"/>
    </row>
    <row r="9" s="162" customFormat="1" ht="15" spans="1:33">
      <c r="A9" s="168" t="s">
        <v>1462</v>
      </c>
      <c r="B9" s="168"/>
      <c r="C9" s="171"/>
      <c r="D9" s="172">
        <f t="shared" ref="D9:I9" si="6">M9*1000</f>
        <v>5380</v>
      </c>
      <c r="E9" s="172">
        <f t="shared" si="6"/>
        <v>6410</v>
      </c>
      <c r="F9" s="172">
        <f t="shared" si="6"/>
        <v>7770</v>
      </c>
      <c r="G9" s="172">
        <f t="shared" si="6"/>
        <v>9780</v>
      </c>
      <c r="H9" s="172">
        <f t="shared" si="6"/>
        <v>11580</v>
      </c>
      <c r="I9" s="172">
        <f t="shared" si="6"/>
        <v>13810</v>
      </c>
      <c r="J9" s="168" t="s">
        <v>1462</v>
      </c>
      <c r="K9" s="168"/>
      <c r="L9" s="171"/>
      <c r="M9" s="186">
        <f t="shared" ref="M9:R9" si="7">ROUND($O$2*V9/1000,2)</f>
        <v>5.38</v>
      </c>
      <c r="N9" s="186">
        <f t="shared" si="7"/>
        <v>6.41</v>
      </c>
      <c r="O9" s="186">
        <f t="shared" si="7"/>
        <v>7.77</v>
      </c>
      <c r="P9" s="186">
        <f t="shared" si="7"/>
        <v>9.78</v>
      </c>
      <c r="Q9" s="186">
        <f t="shared" si="7"/>
        <v>11.58</v>
      </c>
      <c r="R9" s="186">
        <f t="shared" si="7"/>
        <v>13.81</v>
      </c>
      <c r="S9" s="185" t="s">
        <v>1462</v>
      </c>
      <c r="T9" s="185"/>
      <c r="U9" s="210"/>
      <c r="V9" s="210">
        <v>0.4887</v>
      </c>
      <c r="W9" s="210">
        <v>0.5829</v>
      </c>
      <c r="X9" s="210">
        <v>0.7063</v>
      </c>
      <c r="Y9" s="210">
        <v>0.8889</v>
      </c>
      <c r="Z9" s="210">
        <v>1.0531</v>
      </c>
      <c r="AA9" s="210">
        <v>1.2556</v>
      </c>
      <c r="AB9" s="174"/>
      <c r="AC9" s="174"/>
      <c r="AD9" s="174"/>
      <c r="AE9" s="174"/>
      <c r="AF9" s="174"/>
      <c r="AG9" s="174"/>
    </row>
    <row r="10" s="162" customFormat="1" ht="15" spans="1:33">
      <c r="A10" s="168" t="s">
        <v>1463</v>
      </c>
      <c r="B10" s="168"/>
      <c r="C10" s="172">
        <f t="shared" ref="C10:I10" si="8">L10*1000</f>
        <v>6890</v>
      </c>
      <c r="D10" s="172">
        <f t="shared" si="8"/>
        <v>8490</v>
      </c>
      <c r="E10" s="172">
        <f t="shared" si="8"/>
        <v>9940</v>
      </c>
      <c r="F10" s="172">
        <f t="shared" si="8"/>
        <v>12360</v>
      </c>
      <c r="G10" s="172">
        <f t="shared" si="8"/>
        <v>15120</v>
      </c>
      <c r="H10" s="172">
        <f t="shared" si="8"/>
        <v>18450</v>
      </c>
      <c r="I10" s="172">
        <f t="shared" si="8"/>
        <v>22030</v>
      </c>
      <c r="J10" s="168" t="s">
        <v>1463</v>
      </c>
      <c r="K10" s="168"/>
      <c r="L10" s="186">
        <f t="shared" ref="L10:R10" si="9">ROUND($O$2*U10/1000,2)</f>
        <v>6.89</v>
      </c>
      <c r="M10" s="186">
        <f t="shared" si="9"/>
        <v>8.49</v>
      </c>
      <c r="N10" s="186">
        <f t="shared" si="9"/>
        <v>9.94</v>
      </c>
      <c r="O10" s="186">
        <f t="shared" si="9"/>
        <v>12.36</v>
      </c>
      <c r="P10" s="186">
        <f t="shared" si="9"/>
        <v>15.12</v>
      </c>
      <c r="Q10" s="186">
        <f t="shared" si="9"/>
        <v>18.45</v>
      </c>
      <c r="R10" s="186">
        <f t="shared" si="9"/>
        <v>22.03</v>
      </c>
      <c r="S10" s="185" t="s">
        <v>1463</v>
      </c>
      <c r="T10" s="205"/>
      <c r="U10" s="210">
        <v>0.626</v>
      </c>
      <c r="V10" s="210">
        <v>0.7714</v>
      </c>
      <c r="W10" s="210">
        <v>0.9036</v>
      </c>
      <c r="X10" s="210">
        <v>1.1237</v>
      </c>
      <c r="Y10" s="210">
        <v>1.3743</v>
      </c>
      <c r="Z10" s="210">
        <v>1.6777</v>
      </c>
      <c r="AA10" s="210">
        <v>2.0029</v>
      </c>
      <c r="AB10" s="174"/>
      <c r="AC10" s="174"/>
      <c r="AD10" s="174"/>
      <c r="AE10" s="174"/>
      <c r="AF10" s="174"/>
      <c r="AG10" s="174"/>
    </row>
    <row r="11" s="162" customFormat="1" ht="15" spans="1:33">
      <c r="A11" s="168" t="s">
        <v>1464</v>
      </c>
      <c r="B11" s="172">
        <f t="shared" ref="B11:I11" si="10">K11*1000</f>
        <v>6160</v>
      </c>
      <c r="C11" s="172">
        <f t="shared" si="10"/>
        <v>9470</v>
      </c>
      <c r="D11" s="172">
        <f t="shared" si="10"/>
        <v>11610</v>
      </c>
      <c r="E11" s="172">
        <f t="shared" si="10"/>
        <v>14220</v>
      </c>
      <c r="F11" s="172">
        <f t="shared" si="10"/>
        <v>17440</v>
      </c>
      <c r="G11" s="172">
        <f t="shared" si="10"/>
        <v>21390</v>
      </c>
      <c r="H11" s="172">
        <f t="shared" si="10"/>
        <v>26230</v>
      </c>
      <c r="I11" s="172">
        <f t="shared" si="10"/>
        <v>31110</v>
      </c>
      <c r="J11" s="168" t="s">
        <v>1464</v>
      </c>
      <c r="K11" s="186">
        <f t="shared" ref="K11:R11" si="11">ROUND($O$2*T11/1000,2)</f>
        <v>6.16</v>
      </c>
      <c r="L11" s="186">
        <f t="shared" si="11"/>
        <v>9.47</v>
      </c>
      <c r="M11" s="186">
        <f t="shared" si="11"/>
        <v>11.61</v>
      </c>
      <c r="N11" s="186">
        <f t="shared" si="11"/>
        <v>14.22</v>
      </c>
      <c r="O11" s="186">
        <f t="shared" si="11"/>
        <v>17.44</v>
      </c>
      <c r="P11" s="186">
        <f t="shared" si="11"/>
        <v>21.39</v>
      </c>
      <c r="Q11" s="186">
        <f t="shared" si="11"/>
        <v>26.23</v>
      </c>
      <c r="R11" s="186">
        <f t="shared" si="11"/>
        <v>31.11</v>
      </c>
      <c r="S11" s="211" t="s">
        <v>1464</v>
      </c>
      <c r="T11" s="212">
        <v>0.56</v>
      </c>
      <c r="U11" s="213">
        <v>0.8611</v>
      </c>
      <c r="V11" s="210">
        <v>1.0553</v>
      </c>
      <c r="W11" s="210">
        <v>1.2924</v>
      </c>
      <c r="X11" s="210">
        <v>1.5857</v>
      </c>
      <c r="Y11" s="210">
        <v>1.9443</v>
      </c>
      <c r="Z11" s="210">
        <v>2.3843</v>
      </c>
      <c r="AA11" s="210">
        <v>2.8278</v>
      </c>
      <c r="AB11" s="174"/>
      <c r="AC11" s="174"/>
      <c r="AD11" s="174"/>
      <c r="AE11" s="174"/>
      <c r="AF11" s="174"/>
      <c r="AG11" s="174"/>
    </row>
    <row r="12" s="162" customFormat="1" ht="15" spans="1:33">
      <c r="A12" s="168" t="s">
        <v>1465</v>
      </c>
      <c r="B12" s="172">
        <f t="shared" ref="B12:I12" si="12">K12*1000</f>
        <v>9100</v>
      </c>
      <c r="C12" s="172">
        <f t="shared" si="12"/>
        <v>13610</v>
      </c>
      <c r="D12" s="172">
        <f t="shared" si="12"/>
        <v>16810</v>
      </c>
      <c r="E12" s="172">
        <f t="shared" si="12"/>
        <v>20360</v>
      </c>
      <c r="F12" s="172">
        <f t="shared" si="12"/>
        <v>25260</v>
      </c>
      <c r="G12" s="172">
        <f t="shared" si="12"/>
        <v>32310</v>
      </c>
      <c r="H12" s="172">
        <f t="shared" si="12"/>
        <v>37460</v>
      </c>
      <c r="I12" s="172">
        <f t="shared" si="12"/>
        <v>44790</v>
      </c>
      <c r="J12" s="168" t="s">
        <v>1465</v>
      </c>
      <c r="K12" s="186">
        <f t="shared" ref="K12:R12" si="13">ROUND($O$2*T12/1000,2)</f>
        <v>9.1</v>
      </c>
      <c r="L12" s="186">
        <f t="shared" si="13"/>
        <v>13.61</v>
      </c>
      <c r="M12" s="186">
        <f t="shared" si="13"/>
        <v>16.81</v>
      </c>
      <c r="N12" s="186">
        <f t="shared" si="13"/>
        <v>20.36</v>
      </c>
      <c r="O12" s="186">
        <f t="shared" si="13"/>
        <v>25.26</v>
      </c>
      <c r="P12" s="186">
        <f t="shared" si="13"/>
        <v>32.31</v>
      </c>
      <c r="Q12" s="186">
        <f t="shared" si="13"/>
        <v>37.46</v>
      </c>
      <c r="R12" s="186">
        <f t="shared" si="13"/>
        <v>44.79</v>
      </c>
      <c r="S12" s="211" t="s">
        <v>1465</v>
      </c>
      <c r="T12" s="212">
        <v>0.827</v>
      </c>
      <c r="U12" s="213">
        <v>1.2373</v>
      </c>
      <c r="V12" s="210">
        <v>1.528</v>
      </c>
      <c r="W12" s="210">
        <v>1.8512</v>
      </c>
      <c r="X12" s="210">
        <v>2.2963</v>
      </c>
      <c r="Y12" s="210">
        <v>2.937</v>
      </c>
      <c r="Z12" s="210">
        <v>3.4055</v>
      </c>
      <c r="AA12" s="210">
        <v>4.0721</v>
      </c>
      <c r="AB12" s="174"/>
      <c r="AC12" s="174"/>
      <c r="AD12" s="174"/>
      <c r="AE12" s="174"/>
      <c r="AF12" s="174"/>
      <c r="AG12" s="174"/>
    </row>
    <row r="13" s="162" customFormat="1" ht="15" spans="1:33">
      <c r="A13" s="168" t="s">
        <v>1466</v>
      </c>
      <c r="B13" s="172">
        <f t="shared" ref="B13:I13" si="14">K13*1000</f>
        <v>13920</v>
      </c>
      <c r="C13" s="172">
        <f t="shared" si="14"/>
        <v>16270</v>
      </c>
      <c r="D13" s="172">
        <f t="shared" si="14"/>
        <v>20260</v>
      </c>
      <c r="E13" s="172">
        <f t="shared" si="14"/>
        <v>24720</v>
      </c>
      <c r="F13" s="172">
        <f t="shared" si="14"/>
        <v>30620</v>
      </c>
      <c r="G13" s="172">
        <f t="shared" si="14"/>
        <v>37630</v>
      </c>
      <c r="H13" s="172">
        <f t="shared" si="14"/>
        <v>46360</v>
      </c>
      <c r="I13" s="172">
        <f t="shared" si="14"/>
        <v>55830</v>
      </c>
      <c r="J13" s="168" t="s">
        <v>1466</v>
      </c>
      <c r="K13" s="186">
        <f t="shared" ref="K13:R13" si="15">ROUND($O$2*T13/1000,2)</f>
        <v>13.92</v>
      </c>
      <c r="L13" s="186">
        <f t="shared" si="15"/>
        <v>16.27</v>
      </c>
      <c r="M13" s="186">
        <f t="shared" si="15"/>
        <v>20.26</v>
      </c>
      <c r="N13" s="186">
        <f t="shared" si="15"/>
        <v>24.72</v>
      </c>
      <c r="O13" s="186">
        <f t="shared" si="15"/>
        <v>30.62</v>
      </c>
      <c r="P13" s="186">
        <f t="shared" si="15"/>
        <v>37.63</v>
      </c>
      <c r="Q13" s="186">
        <f t="shared" si="15"/>
        <v>46.36</v>
      </c>
      <c r="R13" s="186">
        <f t="shared" si="15"/>
        <v>55.83</v>
      </c>
      <c r="S13" s="211" t="s">
        <v>1466</v>
      </c>
      <c r="T13" s="212">
        <v>1.265</v>
      </c>
      <c r="U13" s="213">
        <v>1.4792</v>
      </c>
      <c r="V13" s="210">
        <v>1.8416</v>
      </c>
      <c r="W13" s="210">
        <v>2.2469</v>
      </c>
      <c r="X13" s="210">
        <v>2.7838</v>
      </c>
      <c r="Y13" s="210">
        <v>3.4208</v>
      </c>
      <c r="Z13" s="210">
        <v>4.2147</v>
      </c>
      <c r="AA13" s="210">
        <v>5.0758</v>
      </c>
      <c r="AB13" s="174"/>
      <c r="AC13" s="174"/>
      <c r="AD13" s="174"/>
      <c r="AE13" s="174"/>
      <c r="AF13" s="174"/>
      <c r="AG13" s="174"/>
    </row>
    <row r="14" s="162" customFormat="1" ht="15" spans="1:33">
      <c r="A14" s="168" t="s">
        <v>1467</v>
      </c>
      <c r="B14" s="172">
        <f t="shared" ref="B14:I14" si="16">K14*1000</f>
        <v>16390</v>
      </c>
      <c r="C14" s="172">
        <f t="shared" si="16"/>
        <v>21310</v>
      </c>
      <c r="D14" s="172">
        <f t="shared" si="16"/>
        <v>26150</v>
      </c>
      <c r="E14" s="172">
        <f t="shared" si="16"/>
        <v>32120</v>
      </c>
      <c r="F14" s="172">
        <f t="shared" si="16"/>
        <v>39400</v>
      </c>
      <c r="G14" s="172">
        <f t="shared" si="16"/>
        <v>48770</v>
      </c>
      <c r="H14" s="172">
        <f t="shared" si="16"/>
        <v>59680</v>
      </c>
      <c r="I14" s="172">
        <f t="shared" si="16"/>
        <v>72600</v>
      </c>
      <c r="J14" s="168" t="s">
        <v>1467</v>
      </c>
      <c r="K14" s="186">
        <f t="shared" ref="K14:R14" si="17">ROUND($O$2*T14/1000,2)</f>
        <v>16.39</v>
      </c>
      <c r="L14" s="186">
        <f t="shared" si="17"/>
        <v>21.31</v>
      </c>
      <c r="M14" s="186">
        <f t="shared" si="17"/>
        <v>26.15</v>
      </c>
      <c r="N14" s="186">
        <f t="shared" si="17"/>
        <v>32.12</v>
      </c>
      <c r="O14" s="186">
        <f t="shared" si="17"/>
        <v>39.4</v>
      </c>
      <c r="P14" s="186">
        <f t="shared" si="17"/>
        <v>48.77</v>
      </c>
      <c r="Q14" s="186">
        <f t="shared" si="17"/>
        <v>59.68</v>
      </c>
      <c r="R14" s="186">
        <f t="shared" si="17"/>
        <v>72.6</v>
      </c>
      <c r="S14" s="211" t="s">
        <v>1467</v>
      </c>
      <c r="T14" s="212">
        <v>1.49</v>
      </c>
      <c r="U14" s="213">
        <v>1.9371</v>
      </c>
      <c r="V14" s="210">
        <v>2.3774</v>
      </c>
      <c r="W14" s="210">
        <v>2.9199</v>
      </c>
      <c r="X14" s="210">
        <v>3.5814</v>
      </c>
      <c r="Y14" s="210">
        <v>4.434</v>
      </c>
      <c r="Z14" s="210">
        <v>5.4254</v>
      </c>
      <c r="AA14" s="210">
        <v>6.6</v>
      </c>
      <c r="AB14" s="174"/>
      <c r="AC14" s="174"/>
      <c r="AD14" s="174"/>
      <c r="AE14" s="174"/>
      <c r="AF14" s="174"/>
      <c r="AG14" s="174"/>
    </row>
    <row r="15" s="162" customFormat="1" ht="15" spans="1:33">
      <c r="A15" s="168" t="s">
        <v>1468</v>
      </c>
      <c r="B15" s="172">
        <f t="shared" ref="B15:I15" si="18">K15*1000</f>
        <v>22960</v>
      </c>
      <c r="C15" s="172">
        <f t="shared" si="18"/>
        <v>26680</v>
      </c>
      <c r="D15" s="172">
        <f t="shared" si="18"/>
        <v>32450</v>
      </c>
      <c r="E15" s="172">
        <f t="shared" si="18"/>
        <v>40460</v>
      </c>
      <c r="F15" s="172">
        <f t="shared" si="18"/>
        <v>49590</v>
      </c>
      <c r="G15" s="172">
        <f t="shared" si="18"/>
        <v>61600</v>
      </c>
      <c r="H15" s="172">
        <f t="shared" si="18"/>
        <v>74940</v>
      </c>
      <c r="I15" s="172">
        <f t="shared" si="18"/>
        <v>90620</v>
      </c>
      <c r="J15" s="168" t="s">
        <v>1468</v>
      </c>
      <c r="K15" s="186">
        <f t="shared" ref="K15:R15" si="19">ROUND($O$2*T15/1000,2)</f>
        <v>22.96</v>
      </c>
      <c r="L15" s="186">
        <f t="shared" si="19"/>
        <v>26.68</v>
      </c>
      <c r="M15" s="186">
        <f t="shared" si="19"/>
        <v>32.45</v>
      </c>
      <c r="N15" s="186">
        <f t="shared" si="19"/>
        <v>40.46</v>
      </c>
      <c r="O15" s="186">
        <f t="shared" si="19"/>
        <v>49.59</v>
      </c>
      <c r="P15" s="186">
        <f t="shared" si="19"/>
        <v>61.6</v>
      </c>
      <c r="Q15" s="186">
        <f t="shared" si="19"/>
        <v>74.94</v>
      </c>
      <c r="R15" s="186">
        <f t="shared" si="19"/>
        <v>90.62</v>
      </c>
      <c r="S15" s="211" t="s">
        <v>1468</v>
      </c>
      <c r="T15" s="212">
        <v>2.087</v>
      </c>
      <c r="U15" s="213">
        <v>2.4254</v>
      </c>
      <c r="V15" s="210">
        <v>2.9496</v>
      </c>
      <c r="W15" s="210">
        <v>3.678</v>
      </c>
      <c r="X15" s="210">
        <v>4.5078</v>
      </c>
      <c r="Y15" s="210">
        <v>5.5998</v>
      </c>
      <c r="Z15" s="210">
        <v>6.8123</v>
      </c>
      <c r="AA15" s="210">
        <v>8.2383</v>
      </c>
      <c r="AB15" s="174"/>
      <c r="AC15" s="174"/>
      <c r="AD15" s="174"/>
      <c r="AE15" s="174"/>
      <c r="AF15" s="174"/>
      <c r="AG15" s="174"/>
    </row>
    <row r="16" s="162" customFormat="1" ht="15" spans="1:33">
      <c r="A16" s="168" t="s">
        <v>1469</v>
      </c>
      <c r="B16" s="172">
        <f t="shared" ref="B16:I16" si="20">K16*1000</f>
        <v>28330</v>
      </c>
      <c r="C16" s="172">
        <f t="shared" si="20"/>
        <v>34540</v>
      </c>
      <c r="D16" s="172">
        <f t="shared" si="20"/>
        <v>42300</v>
      </c>
      <c r="E16" s="172">
        <f t="shared" si="20"/>
        <v>52990</v>
      </c>
      <c r="F16" s="172">
        <f t="shared" si="20"/>
        <v>64920</v>
      </c>
      <c r="G16" s="172">
        <f t="shared" si="20"/>
        <v>79150</v>
      </c>
      <c r="H16" s="172">
        <f t="shared" si="20"/>
        <v>98060</v>
      </c>
      <c r="I16" s="172">
        <f t="shared" si="20"/>
        <v>118750</v>
      </c>
      <c r="J16" s="168" t="s">
        <v>1469</v>
      </c>
      <c r="K16" s="186">
        <f t="shared" ref="K16:R16" si="21">ROUND($O$2*T16/1000,2)</f>
        <v>28.33</v>
      </c>
      <c r="L16" s="186">
        <f t="shared" si="21"/>
        <v>34.54</v>
      </c>
      <c r="M16" s="186">
        <f t="shared" si="21"/>
        <v>42.3</v>
      </c>
      <c r="N16" s="186">
        <f t="shared" si="21"/>
        <v>52.99</v>
      </c>
      <c r="O16" s="186">
        <f t="shared" si="21"/>
        <v>64.92</v>
      </c>
      <c r="P16" s="186">
        <f t="shared" si="21"/>
        <v>79.15</v>
      </c>
      <c r="Q16" s="186">
        <f t="shared" si="21"/>
        <v>98.06</v>
      </c>
      <c r="R16" s="186">
        <f t="shared" si="21"/>
        <v>118.75</v>
      </c>
      <c r="S16" s="211" t="s">
        <v>1469</v>
      </c>
      <c r="T16" s="212">
        <v>2.575</v>
      </c>
      <c r="U16" s="213">
        <v>3.1401</v>
      </c>
      <c r="V16" s="210">
        <v>3.8456</v>
      </c>
      <c r="W16" s="210">
        <v>4.817</v>
      </c>
      <c r="X16" s="210">
        <v>5.9022</v>
      </c>
      <c r="Y16" s="210">
        <v>7.1951</v>
      </c>
      <c r="Z16" s="210">
        <v>8.9141</v>
      </c>
      <c r="AA16" s="210">
        <v>10.7954</v>
      </c>
      <c r="AB16" s="174"/>
      <c r="AC16" s="174"/>
      <c r="AD16" s="174"/>
      <c r="AE16" s="174"/>
      <c r="AF16" s="174"/>
      <c r="AG16" s="174"/>
    </row>
    <row r="17" s="162" customFormat="1" ht="15" spans="1:33">
      <c r="A17" s="168" t="s">
        <v>1470</v>
      </c>
      <c r="B17" s="172">
        <f t="shared" ref="B17:I17" si="22">K17*1000</f>
        <v>34250</v>
      </c>
      <c r="C17" s="172">
        <f t="shared" si="22"/>
        <v>42980</v>
      </c>
      <c r="D17" s="172">
        <f t="shared" si="22"/>
        <v>53470</v>
      </c>
      <c r="E17" s="172">
        <f t="shared" si="22"/>
        <v>66380</v>
      </c>
      <c r="F17" s="172">
        <f t="shared" si="22"/>
        <v>81510</v>
      </c>
      <c r="G17" s="172">
        <f t="shared" si="22"/>
        <v>102440</v>
      </c>
      <c r="H17" s="172">
        <f t="shared" si="22"/>
        <v>124300</v>
      </c>
      <c r="I17" s="172">
        <f t="shared" si="22"/>
        <v>150320</v>
      </c>
      <c r="J17" s="168" t="s">
        <v>1470</v>
      </c>
      <c r="K17" s="186">
        <f t="shared" ref="K17:R17" si="23">ROUND($O$2*T17/1000,2)</f>
        <v>34.25</v>
      </c>
      <c r="L17" s="186">
        <f t="shared" si="23"/>
        <v>42.98</v>
      </c>
      <c r="M17" s="186">
        <f t="shared" si="23"/>
        <v>53.47</v>
      </c>
      <c r="N17" s="186">
        <f t="shared" si="23"/>
        <v>66.38</v>
      </c>
      <c r="O17" s="186">
        <f t="shared" si="23"/>
        <v>81.51</v>
      </c>
      <c r="P17" s="186">
        <f t="shared" si="23"/>
        <v>102.44</v>
      </c>
      <c r="Q17" s="186">
        <f t="shared" si="23"/>
        <v>124.3</v>
      </c>
      <c r="R17" s="186">
        <f t="shared" si="23"/>
        <v>150.32</v>
      </c>
      <c r="S17" s="211" t="s">
        <v>1470</v>
      </c>
      <c r="T17" s="212">
        <v>3.114</v>
      </c>
      <c r="U17" s="213">
        <v>3.9071</v>
      </c>
      <c r="V17" s="210">
        <v>4.8608</v>
      </c>
      <c r="W17" s="210">
        <v>6.0346</v>
      </c>
      <c r="X17" s="210">
        <v>7.4098</v>
      </c>
      <c r="Y17" s="210">
        <v>9.3123</v>
      </c>
      <c r="Z17" s="210">
        <v>11.3001</v>
      </c>
      <c r="AA17" s="210">
        <v>13.6653</v>
      </c>
      <c r="AB17" s="174"/>
      <c r="AC17" s="174"/>
      <c r="AD17" s="174"/>
      <c r="AE17" s="174"/>
      <c r="AF17" s="174"/>
      <c r="AG17" s="174"/>
    </row>
    <row r="18" s="162" customFormat="1" ht="15" spans="1:33">
      <c r="A18" s="168" t="s">
        <v>1471</v>
      </c>
      <c r="B18" s="172">
        <f t="shared" ref="B18:I18" si="24">K18*1000</f>
        <v>42210</v>
      </c>
      <c r="C18" s="172">
        <f t="shared" si="24"/>
        <v>53450</v>
      </c>
      <c r="D18" s="172">
        <f t="shared" si="24"/>
        <v>67090</v>
      </c>
      <c r="E18" s="172">
        <f t="shared" si="24"/>
        <v>82420</v>
      </c>
      <c r="F18" s="172">
        <f t="shared" si="24"/>
        <v>104240</v>
      </c>
      <c r="G18" s="172">
        <f t="shared" si="24"/>
        <v>126010</v>
      </c>
      <c r="H18" s="172">
        <f t="shared" si="24"/>
        <v>153610</v>
      </c>
      <c r="I18" s="172">
        <f t="shared" si="24"/>
        <v>186090</v>
      </c>
      <c r="J18" s="168" t="s">
        <v>1471</v>
      </c>
      <c r="K18" s="186">
        <f t="shared" ref="K18:R18" si="25">ROUND($O$2*T18/1000,2)</f>
        <v>42.21</v>
      </c>
      <c r="L18" s="186">
        <f t="shared" si="25"/>
        <v>53.45</v>
      </c>
      <c r="M18" s="186">
        <f t="shared" si="25"/>
        <v>67.09</v>
      </c>
      <c r="N18" s="186">
        <f t="shared" si="25"/>
        <v>82.42</v>
      </c>
      <c r="O18" s="186">
        <f t="shared" si="25"/>
        <v>104.24</v>
      </c>
      <c r="P18" s="186">
        <f t="shared" si="25"/>
        <v>126.01</v>
      </c>
      <c r="Q18" s="186">
        <f t="shared" si="25"/>
        <v>153.61</v>
      </c>
      <c r="R18" s="186">
        <f t="shared" si="25"/>
        <v>186.09</v>
      </c>
      <c r="S18" s="211" t="s">
        <v>1471</v>
      </c>
      <c r="T18" s="212">
        <v>3.837</v>
      </c>
      <c r="U18" s="213">
        <v>4.8592</v>
      </c>
      <c r="V18" s="210">
        <v>6.0994</v>
      </c>
      <c r="W18" s="210">
        <v>7.4926</v>
      </c>
      <c r="X18" s="210">
        <v>9.4761</v>
      </c>
      <c r="Y18" s="210">
        <v>11.4555</v>
      </c>
      <c r="Z18" s="210">
        <v>13.9648</v>
      </c>
      <c r="AA18" s="210">
        <v>16.9172</v>
      </c>
      <c r="AB18" s="174"/>
      <c r="AC18" s="174"/>
      <c r="AD18" s="174"/>
      <c r="AE18" s="174"/>
      <c r="AF18" s="174"/>
      <c r="AG18" s="174"/>
    </row>
    <row r="19" s="162" customFormat="1" ht="15" spans="1:33">
      <c r="A19" s="168" t="s">
        <v>1472</v>
      </c>
      <c r="B19" s="172">
        <f t="shared" ref="B19:H19" si="26">K19*1000</f>
        <v>55110</v>
      </c>
      <c r="C19" s="172">
        <f t="shared" si="26"/>
        <v>67570</v>
      </c>
      <c r="D19" s="172">
        <f t="shared" si="26"/>
        <v>84020</v>
      </c>
      <c r="E19" s="172">
        <f t="shared" si="26"/>
        <v>103460</v>
      </c>
      <c r="F19" s="172">
        <f t="shared" si="26"/>
        <v>128860</v>
      </c>
      <c r="G19" s="172">
        <f t="shared" si="26"/>
        <v>160160</v>
      </c>
      <c r="H19" s="172">
        <f t="shared" si="26"/>
        <v>194760</v>
      </c>
      <c r="I19" s="171"/>
      <c r="J19" s="168" t="s">
        <v>1472</v>
      </c>
      <c r="K19" s="186">
        <f t="shared" ref="K19:Q19" si="27">ROUND($O$2*T19/1000,2)</f>
        <v>55.11</v>
      </c>
      <c r="L19" s="186">
        <f t="shared" si="27"/>
        <v>67.57</v>
      </c>
      <c r="M19" s="186">
        <f t="shared" si="27"/>
        <v>84.02</v>
      </c>
      <c r="N19" s="186">
        <f t="shared" si="27"/>
        <v>103.46</v>
      </c>
      <c r="O19" s="186">
        <f t="shared" si="27"/>
        <v>128.86</v>
      </c>
      <c r="P19" s="186">
        <f t="shared" si="27"/>
        <v>160.16</v>
      </c>
      <c r="Q19" s="186">
        <f t="shared" si="27"/>
        <v>194.76</v>
      </c>
      <c r="R19" s="171"/>
      <c r="S19" s="211" t="s">
        <v>1472</v>
      </c>
      <c r="T19" s="212">
        <v>5.01</v>
      </c>
      <c r="U19" s="213">
        <v>6.1425</v>
      </c>
      <c r="V19" s="210">
        <v>7.6384</v>
      </c>
      <c r="W19" s="210">
        <v>9.4057</v>
      </c>
      <c r="X19" s="210">
        <v>11.7145</v>
      </c>
      <c r="Y19" s="210">
        <v>14.5597</v>
      </c>
      <c r="Z19" s="210">
        <v>17.7056</v>
      </c>
      <c r="AA19" s="210"/>
      <c r="AB19" s="174"/>
      <c r="AC19" s="174"/>
      <c r="AD19" s="174"/>
      <c r="AE19" s="174"/>
      <c r="AF19" s="174"/>
      <c r="AG19" s="174"/>
    </row>
    <row r="20" s="162" customFormat="1" ht="15" spans="1:33">
      <c r="A20" s="168" t="s">
        <v>1473</v>
      </c>
      <c r="B20" s="172">
        <f t="shared" ref="B20:H20" si="28">K20*1000</f>
        <v>66320</v>
      </c>
      <c r="C20" s="172">
        <f t="shared" si="28"/>
        <v>84710</v>
      </c>
      <c r="D20" s="172">
        <f t="shared" si="28"/>
        <v>104260</v>
      </c>
      <c r="E20" s="172">
        <f t="shared" si="28"/>
        <v>128900</v>
      </c>
      <c r="F20" s="172">
        <f t="shared" si="28"/>
        <v>157790</v>
      </c>
      <c r="G20" s="172">
        <f t="shared" si="28"/>
        <v>195220</v>
      </c>
      <c r="H20" s="172">
        <f t="shared" si="28"/>
        <v>240660</v>
      </c>
      <c r="I20" s="171"/>
      <c r="J20" s="168" t="s">
        <v>1473</v>
      </c>
      <c r="K20" s="186">
        <f t="shared" ref="K20:Q20" si="29">ROUND($O$2*T20/1000,2)</f>
        <v>66.32</v>
      </c>
      <c r="L20" s="186">
        <f t="shared" si="29"/>
        <v>84.71</v>
      </c>
      <c r="M20" s="186">
        <f t="shared" si="29"/>
        <v>104.26</v>
      </c>
      <c r="N20" s="186">
        <f t="shared" si="29"/>
        <v>128.9</v>
      </c>
      <c r="O20" s="186">
        <f t="shared" si="29"/>
        <v>157.79</v>
      </c>
      <c r="P20" s="186">
        <f t="shared" si="29"/>
        <v>195.22</v>
      </c>
      <c r="Q20" s="186">
        <f t="shared" si="29"/>
        <v>240.66</v>
      </c>
      <c r="R20" s="171"/>
      <c r="S20" s="211" t="s">
        <v>1473</v>
      </c>
      <c r="T20" s="212">
        <v>6.029</v>
      </c>
      <c r="U20" s="213">
        <v>7.7013</v>
      </c>
      <c r="V20" s="210">
        <v>9.4781</v>
      </c>
      <c r="W20" s="210">
        <v>11.7183</v>
      </c>
      <c r="X20" s="210">
        <v>14.3448</v>
      </c>
      <c r="Y20" s="210">
        <v>17.7469</v>
      </c>
      <c r="Z20" s="210">
        <v>21.8783</v>
      </c>
      <c r="AA20" s="210"/>
      <c r="AB20" s="174"/>
      <c r="AC20" s="174"/>
      <c r="AD20" s="174"/>
      <c r="AE20" s="174"/>
      <c r="AF20" s="174"/>
      <c r="AG20" s="174"/>
    </row>
    <row r="21" s="162" customFormat="1" ht="15" spans="1:33">
      <c r="A21" s="168" t="s">
        <v>1474</v>
      </c>
      <c r="B21" s="172">
        <f t="shared" ref="B21:H21" si="30">K21*1000</f>
        <v>84700</v>
      </c>
      <c r="C21" s="172">
        <f t="shared" si="30"/>
        <v>106040</v>
      </c>
      <c r="D21" s="172">
        <f t="shared" si="30"/>
        <v>131470</v>
      </c>
      <c r="E21" s="172">
        <f t="shared" si="30"/>
        <v>161920</v>
      </c>
      <c r="F21" s="172">
        <f t="shared" si="30"/>
        <v>200260</v>
      </c>
      <c r="G21" s="172">
        <f t="shared" si="30"/>
        <v>246510</v>
      </c>
      <c r="H21" s="172">
        <f t="shared" si="30"/>
        <v>303030</v>
      </c>
      <c r="I21" s="171"/>
      <c r="J21" s="168" t="s">
        <v>1474</v>
      </c>
      <c r="K21" s="186">
        <f t="shared" ref="K21:Q21" si="31">ROUND($O$2*T21/1000,2)</f>
        <v>84.7</v>
      </c>
      <c r="L21" s="186">
        <f t="shared" si="31"/>
        <v>106.04</v>
      </c>
      <c r="M21" s="186">
        <f t="shared" si="31"/>
        <v>131.47</v>
      </c>
      <c r="N21" s="186">
        <f t="shared" si="31"/>
        <v>161.92</v>
      </c>
      <c r="O21" s="186">
        <f t="shared" si="31"/>
        <v>200.26</v>
      </c>
      <c r="P21" s="186">
        <f t="shared" si="31"/>
        <v>246.51</v>
      </c>
      <c r="Q21" s="186">
        <f t="shared" si="31"/>
        <v>303.03</v>
      </c>
      <c r="R21" s="171"/>
      <c r="S21" s="211" t="s">
        <v>1474</v>
      </c>
      <c r="T21" s="212">
        <v>7.7</v>
      </c>
      <c r="U21" s="213">
        <v>9.64</v>
      </c>
      <c r="V21" s="210">
        <v>11.9522</v>
      </c>
      <c r="W21" s="210">
        <v>14.7198</v>
      </c>
      <c r="X21" s="210">
        <v>18.2057</v>
      </c>
      <c r="Y21" s="210">
        <v>22.41</v>
      </c>
      <c r="Z21" s="210">
        <v>27.5478</v>
      </c>
      <c r="AA21" s="210"/>
      <c r="AB21" s="174"/>
      <c r="AC21" s="174"/>
      <c r="AD21" s="174"/>
      <c r="AE21" s="174"/>
      <c r="AF21" s="174"/>
      <c r="AG21" s="174"/>
    </row>
    <row r="22" s="162" customFormat="1" ht="15" spans="1:33">
      <c r="A22" s="168" t="s">
        <v>1475</v>
      </c>
      <c r="B22" s="172">
        <f t="shared" ref="B22:H22" si="32">K22*1000</f>
        <v>106630</v>
      </c>
      <c r="C22" s="172">
        <f t="shared" si="32"/>
        <v>133160</v>
      </c>
      <c r="D22" s="172">
        <f t="shared" si="32"/>
        <v>166470</v>
      </c>
      <c r="E22" s="172">
        <f t="shared" si="32"/>
        <v>206120</v>
      </c>
      <c r="F22" s="172">
        <f t="shared" si="32"/>
        <v>252360</v>
      </c>
      <c r="G22" s="172">
        <f t="shared" si="32"/>
        <v>310750</v>
      </c>
      <c r="H22" s="172">
        <f t="shared" si="32"/>
        <v>384580</v>
      </c>
      <c r="I22" s="171"/>
      <c r="J22" s="168" t="s">
        <v>1475</v>
      </c>
      <c r="K22" s="186">
        <f t="shared" ref="K22:Q22" si="33">ROUND($O$2*T22/1000,2)</f>
        <v>106.63</v>
      </c>
      <c r="L22" s="186">
        <f t="shared" si="33"/>
        <v>133.16</v>
      </c>
      <c r="M22" s="186">
        <f t="shared" si="33"/>
        <v>166.47</v>
      </c>
      <c r="N22" s="186">
        <f t="shared" si="33"/>
        <v>206.12</v>
      </c>
      <c r="O22" s="186">
        <f t="shared" si="33"/>
        <v>252.36</v>
      </c>
      <c r="P22" s="186">
        <f t="shared" si="33"/>
        <v>310.75</v>
      </c>
      <c r="Q22" s="186">
        <f t="shared" si="33"/>
        <v>384.58</v>
      </c>
      <c r="R22" s="171"/>
      <c r="S22" s="211" t="s">
        <v>1475</v>
      </c>
      <c r="T22" s="212">
        <v>9.694</v>
      </c>
      <c r="U22" s="213">
        <v>12.1052</v>
      </c>
      <c r="V22" s="210">
        <v>15.1333</v>
      </c>
      <c r="W22" s="210">
        <v>18.7378</v>
      </c>
      <c r="X22" s="210">
        <v>22.9414</v>
      </c>
      <c r="Y22" s="210">
        <v>28.25</v>
      </c>
      <c r="Z22" s="210">
        <v>34.9614</v>
      </c>
      <c r="AA22" s="210"/>
      <c r="AB22" s="174"/>
      <c r="AC22" s="174"/>
      <c r="AD22" s="174"/>
      <c r="AE22" s="174"/>
      <c r="AF22" s="174"/>
      <c r="AG22" s="174"/>
    </row>
    <row r="23" s="162" customFormat="1" ht="15" spans="1:33">
      <c r="A23" s="168" t="s">
        <v>1476</v>
      </c>
      <c r="B23" s="173"/>
      <c r="C23" s="172">
        <f t="shared" ref="C23:H23" si="34">L23*1000</f>
        <v>170340</v>
      </c>
      <c r="D23" s="172">
        <f t="shared" si="34"/>
        <v>211470</v>
      </c>
      <c r="E23" s="172">
        <f t="shared" si="34"/>
        <v>261430</v>
      </c>
      <c r="F23" s="172">
        <f t="shared" si="34"/>
        <v>321210</v>
      </c>
      <c r="G23" s="172">
        <f t="shared" si="34"/>
        <v>395670</v>
      </c>
      <c r="H23" s="172">
        <f t="shared" si="34"/>
        <v>489330</v>
      </c>
      <c r="I23" s="171"/>
      <c r="J23" s="168" t="s">
        <v>1476</v>
      </c>
      <c r="K23" s="173"/>
      <c r="L23" s="186">
        <f t="shared" ref="L23:Q23" si="35">ROUND($O$2*U23/1000,2)</f>
        <v>170.34</v>
      </c>
      <c r="M23" s="186">
        <f t="shared" si="35"/>
        <v>211.47</v>
      </c>
      <c r="N23" s="186">
        <f t="shared" si="35"/>
        <v>261.43</v>
      </c>
      <c r="O23" s="186">
        <f t="shared" si="35"/>
        <v>321.21</v>
      </c>
      <c r="P23" s="186">
        <f t="shared" si="35"/>
        <v>395.67</v>
      </c>
      <c r="Q23" s="186">
        <f t="shared" si="35"/>
        <v>489.33</v>
      </c>
      <c r="R23" s="171"/>
      <c r="S23" s="211" t="s">
        <v>1476</v>
      </c>
      <c r="T23" s="212"/>
      <c r="U23" s="213">
        <v>15.4857</v>
      </c>
      <c r="V23" s="210">
        <v>19.2246</v>
      </c>
      <c r="W23" s="210">
        <v>23.7668</v>
      </c>
      <c r="X23" s="210">
        <v>29.2006</v>
      </c>
      <c r="Y23" s="210">
        <v>35.97</v>
      </c>
      <c r="Z23" s="210">
        <v>44.4849</v>
      </c>
      <c r="AA23" s="210"/>
      <c r="AB23" s="174"/>
      <c r="AC23" s="174"/>
      <c r="AD23" s="174"/>
      <c r="AE23" s="174"/>
      <c r="AF23" s="174"/>
      <c r="AG23" s="174"/>
    </row>
    <row r="24" s="162" customFormat="1" ht="15" spans="1:33">
      <c r="A24" s="168" t="s">
        <v>1477</v>
      </c>
      <c r="B24" s="172">
        <f t="shared" ref="B24:H24" si="36">K24*1000</f>
        <v>167840</v>
      </c>
      <c r="C24" s="172">
        <f t="shared" si="36"/>
        <v>216470</v>
      </c>
      <c r="D24" s="172">
        <f t="shared" si="36"/>
        <v>269990</v>
      </c>
      <c r="E24" s="172">
        <f t="shared" si="36"/>
        <v>332230</v>
      </c>
      <c r="F24" s="172">
        <f t="shared" si="36"/>
        <v>410620</v>
      </c>
      <c r="G24" s="172">
        <f t="shared" si="36"/>
        <v>503580</v>
      </c>
      <c r="H24" s="172">
        <f t="shared" si="36"/>
        <v>624030</v>
      </c>
      <c r="I24" s="171"/>
      <c r="J24" s="168" t="s">
        <v>1477</v>
      </c>
      <c r="K24" s="186">
        <f t="shared" ref="K24:Q24" si="37">ROUND($O$2*T24/1000,2)</f>
        <v>167.84</v>
      </c>
      <c r="L24" s="186">
        <f t="shared" si="37"/>
        <v>216.47</v>
      </c>
      <c r="M24" s="186">
        <f t="shared" si="37"/>
        <v>269.99</v>
      </c>
      <c r="N24" s="186">
        <f t="shared" si="37"/>
        <v>332.23</v>
      </c>
      <c r="O24" s="186">
        <f t="shared" si="37"/>
        <v>410.62</v>
      </c>
      <c r="P24" s="186">
        <f t="shared" si="37"/>
        <v>503.58</v>
      </c>
      <c r="Q24" s="186">
        <f t="shared" si="37"/>
        <v>624.03</v>
      </c>
      <c r="R24" s="171"/>
      <c r="S24" s="211" t="s">
        <v>1477</v>
      </c>
      <c r="T24" s="212">
        <v>15.258</v>
      </c>
      <c r="U24" s="213">
        <v>19.6794</v>
      </c>
      <c r="V24" s="210">
        <v>24.5442</v>
      </c>
      <c r="W24" s="210">
        <v>30.2023</v>
      </c>
      <c r="X24" s="210">
        <v>37.329</v>
      </c>
      <c r="Y24" s="210">
        <v>45.78</v>
      </c>
      <c r="Z24" s="210">
        <v>56.7297</v>
      </c>
      <c r="AA24" s="210"/>
      <c r="AB24" s="174"/>
      <c r="AC24" s="174"/>
      <c r="AD24" s="174"/>
      <c r="AE24" s="174"/>
      <c r="AF24" s="174"/>
      <c r="AG24" s="174"/>
    </row>
    <row r="25" s="162" customFormat="1" ht="15" spans="1:33">
      <c r="A25" s="168" t="s">
        <v>1478</v>
      </c>
      <c r="B25" s="173"/>
      <c r="C25" s="172">
        <f t="shared" ref="C25:H25" si="38">L25*1000</f>
        <v>273760</v>
      </c>
      <c r="D25" s="172">
        <f t="shared" si="38"/>
        <v>340720</v>
      </c>
      <c r="E25" s="172">
        <f t="shared" si="38"/>
        <v>420670</v>
      </c>
      <c r="F25" s="172">
        <f t="shared" si="38"/>
        <v>520740</v>
      </c>
      <c r="G25" s="172">
        <f t="shared" si="38"/>
        <v>638220</v>
      </c>
      <c r="H25" s="172">
        <f t="shared" si="38"/>
        <v>794340</v>
      </c>
      <c r="I25" s="171"/>
      <c r="J25" s="168" t="s">
        <v>1478</v>
      </c>
      <c r="K25" s="173"/>
      <c r="L25" s="186">
        <f t="shared" ref="L25:Q25" si="39">ROUND($O$2*U25/1000,2)</f>
        <v>273.76</v>
      </c>
      <c r="M25" s="186">
        <f t="shared" si="39"/>
        <v>340.72</v>
      </c>
      <c r="N25" s="186">
        <f t="shared" si="39"/>
        <v>420.67</v>
      </c>
      <c r="O25" s="186">
        <f t="shared" si="39"/>
        <v>520.74</v>
      </c>
      <c r="P25" s="186">
        <f t="shared" si="39"/>
        <v>638.22</v>
      </c>
      <c r="Q25" s="186">
        <f t="shared" si="39"/>
        <v>794.34</v>
      </c>
      <c r="R25" s="171"/>
      <c r="S25" s="211" t="s">
        <v>1478</v>
      </c>
      <c r="T25" s="212"/>
      <c r="U25" s="213">
        <v>24.8877</v>
      </c>
      <c r="V25" s="210">
        <v>30.9748</v>
      </c>
      <c r="W25" s="210">
        <v>38.2429</v>
      </c>
      <c r="X25" s="210">
        <v>47.3397</v>
      </c>
      <c r="Y25" s="210">
        <v>58.02</v>
      </c>
      <c r="Z25" s="210">
        <v>72.2129</v>
      </c>
      <c r="AA25" s="210"/>
      <c r="AB25" s="174"/>
      <c r="AC25" s="174"/>
      <c r="AD25" s="174"/>
      <c r="AE25" s="174"/>
      <c r="AF25" s="174"/>
      <c r="AG25" s="174"/>
    </row>
    <row r="26" s="162" customFormat="1" ht="15" spans="1:33">
      <c r="A26" s="168" t="s">
        <v>1479</v>
      </c>
      <c r="B26" s="172">
        <f t="shared" ref="B26:H26" si="40">K26*1000</f>
        <v>256880</v>
      </c>
      <c r="C26" s="172">
        <f t="shared" si="40"/>
        <v>340070</v>
      </c>
      <c r="D26" s="172">
        <f t="shared" si="40"/>
        <v>419420</v>
      </c>
      <c r="E26" s="172">
        <f t="shared" si="40"/>
        <v>525800</v>
      </c>
      <c r="F26" s="172">
        <f t="shared" si="40"/>
        <v>642360</v>
      </c>
      <c r="G26" s="172">
        <f t="shared" si="40"/>
        <v>791560</v>
      </c>
      <c r="H26" s="172">
        <f t="shared" si="40"/>
        <v>989600</v>
      </c>
      <c r="I26" s="171"/>
      <c r="J26" s="168" t="s">
        <v>1479</v>
      </c>
      <c r="K26" s="186">
        <f t="shared" ref="K26:Q26" si="41">ROUND($O$2*T26/1000,2)</f>
        <v>256.88</v>
      </c>
      <c r="L26" s="186">
        <f t="shared" si="41"/>
        <v>340.07</v>
      </c>
      <c r="M26" s="186">
        <f t="shared" si="41"/>
        <v>419.42</v>
      </c>
      <c r="N26" s="186">
        <f t="shared" si="41"/>
        <v>525.8</v>
      </c>
      <c r="O26" s="186">
        <f t="shared" si="41"/>
        <v>642.36</v>
      </c>
      <c r="P26" s="186">
        <f t="shared" si="41"/>
        <v>791.56</v>
      </c>
      <c r="Q26" s="186">
        <f t="shared" si="41"/>
        <v>989.6</v>
      </c>
      <c r="R26" s="171"/>
      <c r="S26" s="211" t="s">
        <v>1479</v>
      </c>
      <c r="T26" s="212">
        <v>23.353</v>
      </c>
      <c r="U26" s="213">
        <v>30.9153</v>
      </c>
      <c r="V26" s="210">
        <v>38.1289</v>
      </c>
      <c r="W26" s="210">
        <v>47.8</v>
      </c>
      <c r="X26" s="210">
        <v>58.3963</v>
      </c>
      <c r="Y26" s="210">
        <v>71.96</v>
      </c>
      <c r="Z26" s="210">
        <v>89.9635</v>
      </c>
      <c r="AA26" s="210"/>
      <c r="AB26" s="174"/>
      <c r="AC26" s="174"/>
      <c r="AD26" s="174"/>
      <c r="AE26" s="174"/>
      <c r="AF26" s="174"/>
      <c r="AG26" s="174"/>
    </row>
    <row r="27" s="162" customFormat="1" spans="1:33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</row>
    <row r="28" s="162" customFormat="1" spans="1:33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</row>
    <row r="29" s="162" customFormat="1" ht="18.75" spans="1:33">
      <c r="A29" s="175" t="s">
        <v>1480</v>
      </c>
      <c r="B29" s="175"/>
      <c r="C29" s="176"/>
      <c r="D29" s="176"/>
      <c r="E29" s="176"/>
      <c r="F29" s="176"/>
      <c r="G29" s="176"/>
      <c r="H29" s="176"/>
      <c r="I29" s="176"/>
      <c r="J29" s="187"/>
      <c r="K29" s="188" t="s">
        <v>1481</v>
      </c>
      <c r="L29" s="188"/>
      <c r="M29" s="189"/>
      <c r="N29" s="189"/>
      <c r="O29" s="189"/>
      <c r="P29" s="189"/>
      <c r="Q29" s="189"/>
      <c r="R29" s="189" t="s">
        <v>1441</v>
      </c>
      <c r="S29" s="189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</row>
    <row r="30" s="162" customFormat="1" spans="1:33">
      <c r="A30" s="176"/>
      <c r="B30" s="176"/>
      <c r="C30" s="176"/>
      <c r="D30" s="176"/>
      <c r="E30" s="177" t="s">
        <v>1442</v>
      </c>
      <c r="F30" s="178">
        <v>13500</v>
      </c>
      <c r="G30" s="179" t="s">
        <v>1443</v>
      </c>
      <c r="H30" s="179" t="s">
        <v>1445</v>
      </c>
      <c r="I30" s="176"/>
      <c r="J30" s="190"/>
      <c r="K30" s="191"/>
      <c r="L30" s="191"/>
      <c r="M30" s="189"/>
      <c r="N30" s="189"/>
      <c r="O30" s="189"/>
      <c r="P30" s="189"/>
      <c r="Q30" s="189"/>
      <c r="R30" s="189"/>
      <c r="S30" s="189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</row>
    <row r="31" s="162" customFormat="1" ht="15" spans="1:33">
      <c r="A31" s="180" t="s">
        <v>1446</v>
      </c>
      <c r="B31" s="180"/>
      <c r="C31" s="180" t="s">
        <v>1447</v>
      </c>
      <c r="D31" s="180"/>
      <c r="E31" s="180"/>
      <c r="F31" s="180"/>
      <c r="G31" s="180"/>
      <c r="H31" s="180"/>
      <c r="I31" s="180"/>
      <c r="J31" s="192"/>
      <c r="K31" s="193" t="s">
        <v>1448</v>
      </c>
      <c r="L31" s="194" t="s">
        <v>1449</v>
      </c>
      <c r="M31" s="195"/>
      <c r="N31" s="195"/>
      <c r="O31" s="195"/>
      <c r="P31" s="195"/>
      <c r="Q31" s="195"/>
      <c r="R31" s="195"/>
      <c r="S31" s="21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</row>
    <row r="32" s="162" customFormat="1" ht="15" spans="1:33">
      <c r="A32" s="180"/>
      <c r="B32" s="181"/>
      <c r="C32" s="182" t="s">
        <v>1451</v>
      </c>
      <c r="D32" s="182" t="s">
        <v>1452</v>
      </c>
      <c r="E32" s="182" t="s">
        <v>1453</v>
      </c>
      <c r="F32" s="182" t="s">
        <v>1454</v>
      </c>
      <c r="G32" s="182" t="s">
        <v>1455</v>
      </c>
      <c r="H32" s="182" t="s">
        <v>1456</v>
      </c>
      <c r="I32" s="182" t="s">
        <v>1457</v>
      </c>
      <c r="J32" s="192"/>
      <c r="K32" s="196"/>
      <c r="L32" s="181"/>
      <c r="M32" s="181" t="s">
        <v>1482</v>
      </c>
      <c r="N32" s="181" t="s">
        <v>1452</v>
      </c>
      <c r="O32" s="181" t="s">
        <v>1453</v>
      </c>
      <c r="P32" s="181" t="s">
        <v>1454</v>
      </c>
      <c r="Q32" s="181" t="s">
        <v>1455</v>
      </c>
      <c r="R32" s="181" t="s">
        <v>1456</v>
      </c>
      <c r="S32" s="181" t="s">
        <v>1457</v>
      </c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</row>
    <row r="33" s="162" customFormat="1" ht="15" spans="1:33">
      <c r="A33" s="180" t="s">
        <v>1458</v>
      </c>
      <c r="B33" s="180"/>
      <c r="C33" s="183"/>
      <c r="D33" s="183"/>
      <c r="E33" s="183"/>
      <c r="F33" s="183"/>
      <c r="G33" s="184">
        <f t="shared" ref="G33:G54" si="42">ROUND($F$30*Q33/1000,2)</f>
        <v>1.86</v>
      </c>
      <c r="H33" s="183"/>
      <c r="I33" s="183"/>
      <c r="J33" s="192"/>
      <c r="K33" s="181" t="s">
        <v>1458</v>
      </c>
      <c r="L33" s="181"/>
      <c r="M33" s="197"/>
      <c r="N33" s="197"/>
      <c r="O33" s="197"/>
      <c r="P33" s="197"/>
      <c r="Q33" s="197">
        <v>0.1381</v>
      </c>
      <c r="R33" s="197"/>
      <c r="S33" s="197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</row>
    <row r="34" s="162" customFormat="1" ht="15" spans="1:33">
      <c r="A34" s="180" t="s">
        <v>1459</v>
      </c>
      <c r="B34" s="180"/>
      <c r="C34" s="183"/>
      <c r="D34" s="183"/>
      <c r="E34" s="183"/>
      <c r="F34" s="183"/>
      <c r="G34" s="184">
        <f t="shared" si="42"/>
        <v>2.4</v>
      </c>
      <c r="H34" s="183"/>
      <c r="I34" s="183"/>
      <c r="J34" s="192"/>
      <c r="K34" s="181" t="s">
        <v>1459</v>
      </c>
      <c r="L34" s="181"/>
      <c r="M34" s="197"/>
      <c r="N34" s="197"/>
      <c r="O34" s="197"/>
      <c r="P34" s="197"/>
      <c r="Q34" s="197">
        <v>0.1778</v>
      </c>
      <c r="R34" s="197"/>
      <c r="S34" s="197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</row>
    <row r="35" s="162" customFormat="1" ht="15" spans="1:33">
      <c r="A35" s="180" t="s">
        <v>1460</v>
      </c>
      <c r="B35" s="180"/>
      <c r="C35" s="183"/>
      <c r="D35" s="183"/>
      <c r="E35" s="183"/>
      <c r="F35" s="183"/>
      <c r="G35" s="184">
        <f t="shared" si="42"/>
        <v>3.92</v>
      </c>
      <c r="H35" s="183"/>
      <c r="I35" s="183"/>
      <c r="J35" s="192"/>
      <c r="K35" s="181" t="s">
        <v>1460</v>
      </c>
      <c r="L35" s="181"/>
      <c r="M35" s="197"/>
      <c r="N35" s="197"/>
      <c r="O35" s="197"/>
      <c r="P35" s="197"/>
      <c r="Q35" s="197">
        <v>0.2902</v>
      </c>
      <c r="R35" s="197"/>
      <c r="S35" s="197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</row>
    <row r="36" s="162" customFormat="1" ht="15" spans="1:33">
      <c r="A36" s="180" t="s">
        <v>1461</v>
      </c>
      <c r="B36" s="180"/>
      <c r="C36" s="183"/>
      <c r="D36" s="183"/>
      <c r="E36" s="183"/>
      <c r="F36" s="183"/>
      <c r="G36" s="184">
        <f t="shared" si="42"/>
        <v>6.04</v>
      </c>
      <c r="H36" s="183"/>
      <c r="I36" s="183"/>
      <c r="J36" s="192"/>
      <c r="K36" s="181" t="s">
        <v>1461</v>
      </c>
      <c r="L36" s="181"/>
      <c r="M36" s="197"/>
      <c r="N36" s="197"/>
      <c r="O36" s="197"/>
      <c r="P36" s="197"/>
      <c r="Q36" s="197">
        <v>0.4471</v>
      </c>
      <c r="R36" s="197"/>
      <c r="S36" s="197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</row>
    <row r="37" s="162" customFormat="1" ht="15" spans="1:33">
      <c r="A37" s="180" t="s">
        <v>1462</v>
      </c>
      <c r="B37" s="180"/>
      <c r="C37" s="183"/>
      <c r="D37" s="183"/>
      <c r="E37" s="183"/>
      <c r="F37" s="183"/>
      <c r="G37" s="184">
        <f t="shared" si="42"/>
        <v>9.36</v>
      </c>
      <c r="H37" s="183"/>
      <c r="I37" s="183"/>
      <c r="J37" s="192"/>
      <c r="K37" s="181" t="s">
        <v>1462</v>
      </c>
      <c r="L37" s="181"/>
      <c r="M37" s="197"/>
      <c r="N37" s="197"/>
      <c r="O37" s="197"/>
      <c r="P37" s="197"/>
      <c r="Q37" s="197">
        <v>0.693</v>
      </c>
      <c r="R37" s="197"/>
      <c r="S37" s="197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</row>
    <row r="38" s="162" customFormat="1" ht="15" spans="1:33">
      <c r="A38" s="180" t="s">
        <v>1463</v>
      </c>
      <c r="B38" s="180"/>
      <c r="C38" s="183"/>
      <c r="D38" s="183"/>
      <c r="E38" s="183"/>
      <c r="F38" s="184">
        <f t="shared" ref="F38:F54" si="43">ROUND($F$30*P38/1000,2)</f>
        <v>12.02</v>
      </c>
      <c r="G38" s="184">
        <f t="shared" si="42"/>
        <v>14.44</v>
      </c>
      <c r="H38" s="183"/>
      <c r="I38" s="183"/>
      <c r="J38" s="192"/>
      <c r="K38" s="181" t="s">
        <v>1463</v>
      </c>
      <c r="L38" s="193"/>
      <c r="M38" s="197"/>
      <c r="N38" s="197"/>
      <c r="O38" s="197"/>
      <c r="P38" s="197">
        <v>0.8906</v>
      </c>
      <c r="Q38" s="197">
        <v>1.0699</v>
      </c>
      <c r="R38" s="197"/>
      <c r="S38" s="197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</row>
    <row r="39" s="162" customFormat="1" ht="15" spans="1:33">
      <c r="A39" s="180" t="s">
        <v>1464</v>
      </c>
      <c r="B39" s="180"/>
      <c r="C39" s="183"/>
      <c r="D39" s="183"/>
      <c r="E39" s="184">
        <f t="shared" ref="E39:E54" si="44">ROUND($F$30*O39/1000,2)</f>
        <v>13.85</v>
      </c>
      <c r="F39" s="184">
        <f t="shared" si="43"/>
        <v>16.98</v>
      </c>
      <c r="G39" s="184">
        <f t="shared" si="42"/>
        <v>20.25</v>
      </c>
      <c r="H39" s="183"/>
      <c r="I39" s="183"/>
      <c r="J39" s="192"/>
      <c r="K39" s="198" t="s">
        <v>1464</v>
      </c>
      <c r="L39" s="199"/>
      <c r="M39" s="200"/>
      <c r="N39" s="197"/>
      <c r="O39" s="197">
        <v>1.0261</v>
      </c>
      <c r="P39" s="197">
        <v>1.2581</v>
      </c>
      <c r="Q39" s="197">
        <v>1.4997</v>
      </c>
      <c r="R39" s="197"/>
      <c r="S39" s="197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</row>
    <row r="40" s="162" customFormat="1" ht="15" spans="1:33">
      <c r="A40" s="180" t="s">
        <v>1465</v>
      </c>
      <c r="B40" s="180"/>
      <c r="C40" s="183"/>
      <c r="D40" s="184">
        <f t="shared" ref="D40:D54" si="45">ROUND($F$30*N40/1000,2)</f>
        <v>16.16</v>
      </c>
      <c r="E40" s="184">
        <f t="shared" si="44"/>
        <v>20.05</v>
      </c>
      <c r="F40" s="184">
        <f t="shared" si="43"/>
        <v>24.43</v>
      </c>
      <c r="G40" s="184">
        <f t="shared" si="42"/>
        <v>29.24</v>
      </c>
      <c r="H40" s="183"/>
      <c r="I40" s="183"/>
      <c r="J40" s="192"/>
      <c r="K40" s="198" t="s">
        <v>1465</v>
      </c>
      <c r="L40" s="199"/>
      <c r="M40" s="200"/>
      <c r="N40" s="197">
        <v>1.1972</v>
      </c>
      <c r="O40" s="197">
        <v>1.485</v>
      </c>
      <c r="P40" s="197">
        <v>1.8094</v>
      </c>
      <c r="Q40" s="197">
        <v>2.166</v>
      </c>
      <c r="R40" s="197"/>
      <c r="S40" s="197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</row>
    <row r="41" s="162" customFormat="1" ht="15" spans="1:33">
      <c r="A41" s="180" t="s">
        <v>1466</v>
      </c>
      <c r="B41" s="180"/>
      <c r="C41" s="184">
        <f t="shared" ref="C41:C54" si="46">ROUND($F$30*M41/1000,2)</f>
        <v>19.53</v>
      </c>
      <c r="D41" s="184">
        <f t="shared" si="45"/>
        <v>24.41</v>
      </c>
      <c r="E41" s="184">
        <f t="shared" si="44"/>
        <v>29.75</v>
      </c>
      <c r="F41" s="184">
        <f t="shared" si="43"/>
        <v>36.07</v>
      </c>
      <c r="G41" s="184">
        <f t="shared" si="42"/>
        <v>43.44</v>
      </c>
      <c r="H41" s="183"/>
      <c r="I41" s="183"/>
      <c r="J41" s="192"/>
      <c r="K41" s="198" t="s">
        <v>1466</v>
      </c>
      <c r="L41" s="199"/>
      <c r="M41" s="200">
        <v>1.447</v>
      </c>
      <c r="N41" s="197">
        <v>1.8079</v>
      </c>
      <c r="O41" s="197">
        <v>2.2034</v>
      </c>
      <c r="P41" s="197">
        <v>2.6719</v>
      </c>
      <c r="Q41" s="197">
        <v>3.2178</v>
      </c>
      <c r="R41" s="197"/>
      <c r="S41" s="197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</row>
    <row r="42" s="162" customFormat="1" ht="15" spans="1:33">
      <c r="A42" s="180" t="s">
        <v>1467</v>
      </c>
      <c r="B42" s="180"/>
      <c r="C42" s="184">
        <f t="shared" si="46"/>
        <v>25.36</v>
      </c>
      <c r="D42" s="184">
        <f t="shared" si="45"/>
        <v>31.13</v>
      </c>
      <c r="E42" s="184">
        <f t="shared" si="44"/>
        <v>38.11</v>
      </c>
      <c r="F42" s="184">
        <f t="shared" si="43"/>
        <v>46.4</v>
      </c>
      <c r="G42" s="184">
        <f t="shared" si="42"/>
        <v>56.45</v>
      </c>
      <c r="H42" s="183"/>
      <c r="I42" s="183"/>
      <c r="J42" s="192"/>
      <c r="K42" s="198" t="s">
        <v>1467</v>
      </c>
      <c r="L42" s="199"/>
      <c r="M42" s="200">
        <v>1.8788</v>
      </c>
      <c r="N42" s="197">
        <v>2.3061</v>
      </c>
      <c r="O42" s="197">
        <v>2.823</v>
      </c>
      <c r="P42" s="197">
        <v>3.437</v>
      </c>
      <c r="Q42" s="197">
        <v>4.1817</v>
      </c>
      <c r="R42" s="197"/>
      <c r="S42" s="197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</row>
    <row r="43" s="162" customFormat="1" ht="15" spans="1:33">
      <c r="A43" s="180" t="s">
        <v>1468</v>
      </c>
      <c r="B43" s="180"/>
      <c r="C43" s="184">
        <f t="shared" si="46"/>
        <v>31.98</v>
      </c>
      <c r="D43" s="184">
        <f t="shared" si="45"/>
        <v>39.19</v>
      </c>
      <c r="E43" s="184">
        <f t="shared" si="44"/>
        <v>47.75</v>
      </c>
      <c r="F43" s="184">
        <f t="shared" si="43"/>
        <v>58.26</v>
      </c>
      <c r="G43" s="184">
        <f t="shared" si="42"/>
        <v>70.45</v>
      </c>
      <c r="H43" s="183"/>
      <c r="I43" s="183"/>
      <c r="J43" s="192"/>
      <c r="K43" s="198" t="s">
        <v>1468</v>
      </c>
      <c r="L43" s="199"/>
      <c r="M43" s="200">
        <v>2.3688</v>
      </c>
      <c r="N43" s="197">
        <v>2.9026</v>
      </c>
      <c r="O43" s="197">
        <v>3.5374</v>
      </c>
      <c r="P43" s="197">
        <v>4.3152</v>
      </c>
      <c r="Q43" s="197">
        <v>5.2187</v>
      </c>
      <c r="R43" s="197"/>
      <c r="S43" s="197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</row>
    <row r="44" s="162" customFormat="1" ht="15" spans="1:33">
      <c r="A44" s="180" t="s">
        <v>1469</v>
      </c>
      <c r="B44" s="180"/>
      <c r="C44" s="184">
        <f t="shared" si="46"/>
        <v>41.82</v>
      </c>
      <c r="D44" s="184">
        <f t="shared" si="45"/>
        <v>51.26</v>
      </c>
      <c r="E44" s="184">
        <f t="shared" si="44"/>
        <v>62.5</v>
      </c>
      <c r="F44" s="184">
        <f t="shared" si="43"/>
        <v>76.17</v>
      </c>
      <c r="G44" s="184">
        <f t="shared" si="42"/>
        <v>92.25</v>
      </c>
      <c r="H44" s="183"/>
      <c r="I44" s="183"/>
      <c r="J44" s="192"/>
      <c r="K44" s="198" t="s">
        <v>1469</v>
      </c>
      <c r="L44" s="199"/>
      <c r="M44" s="200">
        <v>3.0977</v>
      </c>
      <c r="N44" s="197">
        <v>3.7968</v>
      </c>
      <c r="O44" s="197">
        <v>4.6293</v>
      </c>
      <c r="P44" s="197">
        <v>5.6419</v>
      </c>
      <c r="Q44" s="197">
        <v>6.8332</v>
      </c>
      <c r="R44" s="197"/>
      <c r="S44" s="197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</row>
    <row r="45" s="162" customFormat="1" ht="15" spans="1:33">
      <c r="A45" s="180" t="s">
        <v>1470</v>
      </c>
      <c r="B45" s="180"/>
      <c r="C45" s="184">
        <f t="shared" si="46"/>
        <v>52.34</v>
      </c>
      <c r="D45" s="184">
        <f t="shared" si="45"/>
        <v>64.31</v>
      </c>
      <c r="E45" s="184">
        <f t="shared" si="44"/>
        <v>79.22</v>
      </c>
      <c r="F45" s="184">
        <f t="shared" si="43"/>
        <v>96.48</v>
      </c>
      <c r="G45" s="184">
        <f t="shared" si="42"/>
        <v>118.74</v>
      </c>
      <c r="H45" s="183"/>
      <c r="I45" s="183"/>
      <c r="J45" s="201"/>
      <c r="K45" s="198" t="s">
        <v>1470</v>
      </c>
      <c r="L45" s="199"/>
      <c r="M45" s="200">
        <v>3.877</v>
      </c>
      <c r="N45" s="197">
        <v>4.7635</v>
      </c>
      <c r="O45" s="197">
        <v>5.8678</v>
      </c>
      <c r="P45" s="197">
        <v>7.1464</v>
      </c>
      <c r="Q45" s="197">
        <v>8.7957</v>
      </c>
      <c r="R45" s="197"/>
      <c r="S45" s="197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</row>
    <row r="46" s="162" customFormat="1" ht="15" spans="1:33">
      <c r="A46" s="180" t="s">
        <v>1471</v>
      </c>
      <c r="B46" s="180"/>
      <c r="C46" s="184">
        <f t="shared" si="46"/>
        <v>64.78</v>
      </c>
      <c r="D46" s="184">
        <f t="shared" si="45"/>
        <v>79.92</v>
      </c>
      <c r="E46" s="184">
        <f t="shared" si="44"/>
        <v>97.56</v>
      </c>
      <c r="F46" s="184">
        <f t="shared" si="43"/>
        <v>118.84</v>
      </c>
      <c r="G46" s="184">
        <f t="shared" si="42"/>
        <v>146.57</v>
      </c>
      <c r="H46" s="183"/>
      <c r="I46" s="183"/>
      <c r="J46" s="201"/>
      <c r="K46" s="198" t="s">
        <v>1471</v>
      </c>
      <c r="L46" s="199"/>
      <c r="M46" s="200">
        <v>4.7987</v>
      </c>
      <c r="N46" s="197">
        <v>5.9199</v>
      </c>
      <c r="O46" s="197">
        <v>7.2266</v>
      </c>
      <c r="P46" s="197">
        <v>8.8028</v>
      </c>
      <c r="Q46" s="197">
        <v>10.8573</v>
      </c>
      <c r="R46" s="197"/>
      <c r="S46" s="197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</row>
    <row r="47" s="162" customFormat="1" ht="15" spans="1:33">
      <c r="A47" s="180" t="s">
        <v>1472</v>
      </c>
      <c r="B47" s="180"/>
      <c r="C47" s="184">
        <f t="shared" si="46"/>
        <v>81.26</v>
      </c>
      <c r="D47" s="184">
        <f t="shared" si="45"/>
        <v>101.52</v>
      </c>
      <c r="E47" s="184">
        <f t="shared" si="44"/>
        <v>123.87</v>
      </c>
      <c r="F47" s="184">
        <f t="shared" si="43"/>
        <v>153.63</v>
      </c>
      <c r="G47" s="184">
        <f t="shared" si="42"/>
        <v>185.87</v>
      </c>
      <c r="H47" s="183"/>
      <c r="I47" s="183"/>
      <c r="J47" s="201"/>
      <c r="K47" s="198" t="s">
        <v>1472</v>
      </c>
      <c r="L47" s="199"/>
      <c r="M47" s="200">
        <v>6.0189</v>
      </c>
      <c r="N47" s="197">
        <v>7.52</v>
      </c>
      <c r="O47" s="197">
        <v>9.1758</v>
      </c>
      <c r="P47" s="197">
        <v>11.3797</v>
      </c>
      <c r="Q47" s="197">
        <v>13.7685</v>
      </c>
      <c r="R47" s="197"/>
      <c r="S47" s="197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</row>
    <row r="48" s="162" customFormat="1" ht="15" spans="1:33">
      <c r="A48" s="180" t="s">
        <v>1473</v>
      </c>
      <c r="B48" s="180"/>
      <c r="C48" s="184">
        <f t="shared" si="46"/>
        <v>100.99</v>
      </c>
      <c r="D48" s="184">
        <f t="shared" si="45"/>
        <v>123.62</v>
      </c>
      <c r="E48" s="184">
        <f t="shared" si="44"/>
        <v>151.99</v>
      </c>
      <c r="F48" s="184">
        <f t="shared" si="43"/>
        <v>189</v>
      </c>
      <c r="G48" s="184">
        <f t="shared" si="42"/>
        <v>228.21</v>
      </c>
      <c r="H48" s="183"/>
      <c r="I48" s="183"/>
      <c r="J48" s="201"/>
      <c r="K48" s="198" t="s">
        <v>1473</v>
      </c>
      <c r="L48" s="199"/>
      <c r="M48" s="200">
        <v>7.4806</v>
      </c>
      <c r="N48" s="197">
        <v>9.1568</v>
      </c>
      <c r="O48" s="197">
        <v>11.2588</v>
      </c>
      <c r="P48" s="197">
        <v>13.9998</v>
      </c>
      <c r="Q48" s="197">
        <v>16.9043</v>
      </c>
      <c r="R48" s="197"/>
      <c r="S48" s="197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</row>
    <row r="49" s="162" customFormat="1" ht="15" spans="1:33">
      <c r="A49" s="180" t="s">
        <v>1474</v>
      </c>
      <c r="B49" s="180"/>
      <c r="C49" s="184">
        <f t="shared" si="46"/>
        <v>127.49</v>
      </c>
      <c r="D49" s="184">
        <f t="shared" si="45"/>
        <v>157.78</v>
      </c>
      <c r="E49" s="184">
        <f t="shared" si="44"/>
        <v>196.42</v>
      </c>
      <c r="F49" s="184">
        <f t="shared" si="43"/>
        <v>239.68</v>
      </c>
      <c r="G49" s="184">
        <f t="shared" si="42"/>
        <v>289.21</v>
      </c>
      <c r="H49" s="183"/>
      <c r="I49" s="183"/>
      <c r="J49" s="201"/>
      <c r="K49" s="198" t="s">
        <v>1474</v>
      </c>
      <c r="L49" s="199"/>
      <c r="M49" s="200">
        <v>9.4438</v>
      </c>
      <c r="N49" s="197">
        <v>11.6873</v>
      </c>
      <c r="O49" s="197">
        <v>14.5496</v>
      </c>
      <c r="P49" s="197">
        <v>17.7539</v>
      </c>
      <c r="Q49" s="197">
        <v>21.4229</v>
      </c>
      <c r="R49" s="197"/>
      <c r="S49" s="197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</row>
    <row r="50" s="162" customFormat="1" ht="15" spans="1:33">
      <c r="A50" s="180" t="s">
        <v>1475</v>
      </c>
      <c r="B50" s="180"/>
      <c r="C50" s="184">
        <f t="shared" si="46"/>
        <v>160.44</v>
      </c>
      <c r="D50" s="184">
        <f t="shared" si="45"/>
        <v>196.51</v>
      </c>
      <c r="E50" s="184">
        <f t="shared" si="44"/>
        <v>246.92</v>
      </c>
      <c r="F50" s="184">
        <f t="shared" si="43"/>
        <v>300.57</v>
      </c>
      <c r="G50" s="184">
        <f t="shared" si="42"/>
        <v>362.57</v>
      </c>
      <c r="H50" s="183"/>
      <c r="I50" s="183"/>
      <c r="J50" s="201"/>
      <c r="K50" s="198" t="s">
        <v>1475</v>
      </c>
      <c r="L50" s="199"/>
      <c r="M50" s="200">
        <v>11.8841</v>
      </c>
      <c r="N50" s="197">
        <v>14.5562</v>
      </c>
      <c r="O50" s="197">
        <v>18.2905</v>
      </c>
      <c r="P50" s="197">
        <v>22.2643</v>
      </c>
      <c r="Q50" s="197">
        <v>26.857</v>
      </c>
      <c r="R50" s="197"/>
      <c r="S50" s="197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</row>
    <row r="51" s="162" customFormat="1" ht="15" spans="1:33">
      <c r="A51" s="180" t="s">
        <v>1476</v>
      </c>
      <c r="B51" s="180"/>
      <c r="C51" s="184">
        <f t="shared" si="46"/>
        <v>204.34</v>
      </c>
      <c r="D51" s="184">
        <f t="shared" si="45"/>
        <v>254.11</v>
      </c>
      <c r="E51" s="184">
        <f t="shared" si="44"/>
        <v>313.41</v>
      </c>
      <c r="F51" s="184">
        <f t="shared" si="43"/>
        <v>381.29</v>
      </c>
      <c r="G51" s="184">
        <f t="shared" si="42"/>
        <v>460.64</v>
      </c>
      <c r="H51" s="183"/>
      <c r="I51" s="183"/>
      <c r="J51" s="201"/>
      <c r="K51" s="198" t="s">
        <v>1476</v>
      </c>
      <c r="L51" s="199"/>
      <c r="M51" s="200">
        <v>15.136</v>
      </c>
      <c r="N51" s="197">
        <v>18.8229</v>
      </c>
      <c r="O51" s="197">
        <v>23.2159</v>
      </c>
      <c r="P51" s="197">
        <v>28.2436</v>
      </c>
      <c r="Q51" s="197">
        <v>34.1218</v>
      </c>
      <c r="R51" s="197"/>
      <c r="S51" s="197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</row>
    <row r="52" s="162" customFormat="1" ht="15" spans="1:33">
      <c r="A52" s="180" t="s">
        <v>1477</v>
      </c>
      <c r="B52" s="180"/>
      <c r="C52" s="184">
        <f t="shared" si="46"/>
        <v>259.13</v>
      </c>
      <c r="D52" s="184">
        <f t="shared" si="45"/>
        <v>324.05</v>
      </c>
      <c r="E52" s="184">
        <f t="shared" si="44"/>
        <v>396.62</v>
      </c>
      <c r="F52" s="184">
        <f t="shared" si="43"/>
        <v>483.56</v>
      </c>
      <c r="G52" s="184">
        <f t="shared" si="42"/>
        <v>584.99</v>
      </c>
      <c r="H52" s="183"/>
      <c r="I52" s="183"/>
      <c r="J52" s="201"/>
      <c r="K52" s="198" t="s">
        <v>1477</v>
      </c>
      <c r="L52" s="199"/>
      <c r="M52" s="200">
        <v>19.1947</v>
      </c>
      <c r="N52" s="197">
        <v>24.0038</v>
      </c>
      <c r="O52" s="197">
        <v>29.3794</v>
      </c>
      <c r="P52" s="197">
        <v>35.8193</v>
      </c>
      <c r="Q52" s="197">
        <v>43.3328</v>
      </c>
      <c r="R52" s="197"/>
      <c r="S52" s="197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</row>
    <row r="53" s="162" customFormat="1" ht="15" spans="1:33">
      <c r="A53" s="180" t="s">
        <v>1478</v>
      </c>
      <c r="B53" s="180"/>
      <c r="C53" s="184">
        <f t="shared" si="46"/>
        <v>333.41</v>
      </c>
      <c r="D53" s="184">
        <f t="shared" si="45"/>
        <v>409.72</v>
      </c>
      <c r="E53" s="184">
        <f t="shared" si="44"/>
        <v>502.67</v>
      </c>
      <c r="F53" s="184">
        <f t="shared" si="43"/>
        <v>612.97</v>
      </c>
      <c r="G53" s="184">
        <f t="shared" si="42"/>
        <v>740.57</v>
      </c>
      <c r="H53" s="183"/>
      <c r="I53" s="183"/>
      <c r="J53" s="176"/>
      <c r="K53" s="198" t="s">
        <v>1478</v>
      </c>
      <c r="L53" s="199"/>
      <c r="M53" s="200">
        <v>24.6974</v>
      </c>
      <c r="N53" s="197">
        <v>30.3494</v>
      </c>
      <c r="O53" s="197">
        <v>37.2349</v>
      </c>
      <c r="P53" s="197">
        <v>45.4049</v>
      </c>
      <c r="Q53" s="197">
        <v>54.8567</v>
      </c>
      <c r="R53" s="197"/>
      <c r="S53" s="197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</row>
    <row r="54" s="162" customFormat="1" ht="15" spans="1:33">
      <c r="A54" s="180" t="s">
        <v>1479</v>
      </c>
      <c r="B54" s="180"/>
      <c r="C54" s="184">
        <f t="shared" si="46"/>
        <v>411.42</v>
      </c>
      <c r="D54" s="184">
        <f t="shared" si="45"/>
        <v>506.15</v>
      </c>
      <c r="E54" s="184">
        <f t="shared" si="44"/>
        <v>621.27</v>
      </c>
      <c r="F54" s="184">
        <f t="shared" si="43"/>
        <v>756.69</v>
      </c>
      <c r="G54" s="184">
        <f t="shared" si="42"/>
        <v>914.46</v>
      </c>
      <c r="H54" s="183"/>
      <c r="I54" s="183"/>
      <c r="J54" s="176"/>
      <c r="K54" s="198" t="s">
        <v>1479</v>
      </c>
      <c r="L54" s="199"/>
      <c r="M54" s="200">
        <v>30.4753</v>
      </c>
      <c r="N54" s="197">
        <v>37.4926</v>
      </c>
      <c r="O54" s="197">
        <v>46.02</v>
      </c>
      <c r="P54" s="197">
        <v>56.0508</v>
      </c>
      <c r="Q54" s="197">
        <v>67.7377</v>
      </c>
      <c r="R54" s="197"/>
      <c r="S54" s="197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</row>
    <row r="55" s="162" customFormat="1" spans="1:33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</row>
  </sheetData>
  <sheetProtection formatCells="0" insertHyperlinks="0" autoFilter="0"/>
  <mergeCells count="10">
    <mergeCell ref="C3:I3"/>
    <mergeCell ref="L3:R3"/>
    <mergeCell ref="T3:AA3"/>
    <mergeCell ref="C31:I31"/>
    <mergeCell ref="L31:S31"/>
    <mergeCell ref="A3:A4"/>
    <mergeCell ref="A31:A32"/>
    <mergeCell ref="J3:J4"/>
    <mergeCell ref="K31:K32"/>
    <mergeCell ref="S3:S4"/>
  </mergeCells>
  <pageMargins left="0.75" right="0.75" top="1" bottom="1" header="0.5" footer="0.5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tabColor theme="0"/>
  </sheetPr>
  <dimension ref="A1:K294"/>
  <sheetViews>
    <sheetView workbookViewId="0">
      <selection activeCell="K4608" sqref="K4608"/>
    </sheetView>
  </sheetViews>
  <sheetFormatPr defaultColWidth="9" defaultRowHeight="16.5" customHeight="1"/>
  <cols>
    <col min="1" max="1" width="3.75" style="1" customWidth="1"/>
    <col min="2" max="2" width="12.625" style="1" customWidth="1"/>
    <col min="3" max="3" width="11" style="1" customWidth="1"/>
    <col min="4" max="4" width="10" style="1" customWidth="1"/>
    <col min="5" max="5" width="9.375" style="1" customWidth="1"/>
    <col min="6" max="6" width="8.875" style="1" customWidth="1"/>
    <col min="7" max="7" width="9.875" style="1" customWidth="1"/>
    <col min="8" max="8" width="10.875" style="1" customWidth="1"/>
  </cols>
  <sheetData>
    <row r="1" ht="15.6" customHeight="1" spans="1:8">
      <c r="A1" s="111" t="s">
        <v>1483</v>
      </c>
      <c r="B1" s="111"/>
      <c r="C1" s="111"/>
      <c r="D1" s="111"/>
      <c r="E1" s="111"/>
      <c r="F1" s="111"/>
      <c r="G1" s="111"/>
      <c r="H1" s="111"/>
    </row>
    <row r="2" ht="15.6" customHeight="1" spans="1:8">
      <c r="A2" s="111"/>
      <c r="B2" s="111"/>
      <c r="C2" s="111"/>
      <c r="D2" s="111"/>
      <c r="E2" s="111"/>
      <c r="F2" s="111"/>
      <c r="G2" s="111"/>
      <c r="H2" s="111"/>
    </row>
    <row r="3" ht="15.6" customHeight="1" spans="1:8">
      <c r="A3" s="111"/>
      <c r="B3" s="111"/>
      <c r="C3" s="111"/>
      <c r="D3" s="111"/>
      <c r="E3" s="111"/>
      <c r="F3" s="111"/>
      <c r="G3" s="111"/>
      <c r="H3" s="111"/>
    </row>
    <row r="4" ht="15.6" customHeight="1" spans="1:8">
      <c r="A4" s="7" t="s">
        <v>1484</v>
      </c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</row>
    <row r="5" ht="15.6" customHeight="1" spans="1:8">
      <c r="A5" s="7" t="s">
        <v>1485</v>
      </c>
      <c r="B5" s="7"/>
      <c r="C5" s="7" t="s">
        <v>1486</v>
      </c>
      <c r="D5" s="7" t="s">
        <v>1487</v>
      </c>
      <c r="E5" s="7" t="s">
        <v>1487</v>
      </c>
      <c r="F5" s="7" t="s">
        <v>1488</v>
      </c>
      <c r="G5" s="7" t="s">
        <v>1488</v>
      </c>
      <c r="H5" s="7" t="s">
        <v>925</v>
      </c>
    </row>
    <row r="6" ht="15.6" customHeight="1" spans="1:8">
      <c r="A6" s="7" t="s">
        <v>1489</v>
      </c>
      <c r="B6" s="7"/>
      <c r="C6" s="7" t="s">
        <v>1490</v>
      </c>
      <c r="D6" s="7" t="s">
        <v>1491</v>
      </c>
      <c r="E6" s="7" t="s">
        <v>1492</v>
      </c>
      <c r="F6" s="7" t="s">
        <v>1491</v>
      </c>
      <c r="G6" s="7" t="s">
        <v>1492</v>
      </c>
      <c r="H6" s="7" t="s">
        <v>1493</v>
      </c>
    </row>
    <row r="7" ht="15.6" customHeight="1" spans="1:8">
      <c r="A7" s="7" t="s">
        <v>1494</v>
      </c>
      <c r="B7" s="7"/>
      <c r="C7" s="7">
        <v>1002</v>
      </c>
      <c r="D7" s="7">
        <v>1015</v>
      </c>
      <c r="E7" s="7">
        <v>1016</v>
      </c>
      <c r="F7" s="7">
        <v>1010</v>
      </c>
      <c r="G7" s="7">
        <v>1011</v>
      </c>
      <c r="H7" s="7">
        <v>1034</v>
      </c>
    </row>
    <row r="8" ht="15.6" customHeight="1" spans="1:8">
      <c r="A8" s="143" t="s">
        <v>1495</v>
      </c>
      <c r="B8" s="11" t="s">
        <v>1496</v>
      </c>
      <c r="C8" s="7">
        <v>28.77</v>
      </c>
      <c r="D8" s="7">
        <v>10.8</v>
      </c>
      <c r="E8" s="7">
        <v>19</v>
      </c>
      <c r="F8" s="7">
        <v>5.7</v>
      </c>
      <c r="G8" s="7">
        <v>9.65</v>
      </c>
      <c r="H8" s="9">
        <v>0.17</v>
      </c>
    </row>
    <row r="9" ht="15.6" customHeight="1" spans="1:8">
      <c r="A9" s="144"/>
      <c r="B9" s="11" t="s">
        <v>1497</v>
      </c>
      <c r="C9" s="7">
        <v>29.63</v>
      </c>
      <c r="D9" s="7">
        <v>13.02</v>
      </c>
      <c r="E9" s="7">
        <v>22.81</v>
      </c>
      <c r="F9" s="7">
        <v>6.84</v>
      </c>
      <c r="G9" s="7">
        <v>11.38</v>
      </c>
      <c r="H9" s="7">
        <v>1.01</v>
      </c>
    </row>
    <row r="10" ht="15.6" customHeight="1" spans="1:8">
      <c r="A10" s="144"/>
      <c r="B10" s="11" t="s">
        <v>1498</v>
      </c>
      <c r="C10" s="7">
        <v>2.42</v>
      </c>
      <c r="D10" s="7">
        <v>0.49</v>
      </c>
      <c r="E10" s="7">
        <v>0.86</v>
      </c>
      <c r="F10" s="7">
        <v>0.37</v>
      </c>
      <c r="G10" s="7">
        <v>0.54</v>
      </c>
      <c r="H10" s="7"/>
    </row>
    <row r="11" ht="15.6" customHeight="1" spans="1:8">
      <c r="A11" s="145"/>
      <c r="B11" s="11" t="s">
        <v>1119</v>
      </c>
      <c r="C11" s="69">
        <f t="shared" ref="C11:H11" si="0">C8/1.15+C9/1.09+C10</f>
        <v>54.6208775428799</v>
      </c>
      <c r="D11" s="69">
        <f t="shared" si="0"/>
        <v>21.8262584762664</v>
      </c>
      <c r="E11" s="69">
        <f t="shared" si="0"/>
        <v>38.3083446350219</v>
      </c>
      <c r="F11" s="69">
        <f t="shared" si="0"/>
        <v>11.6017510969286</v>
      </c>
      <c r="G11" s="69">
        <f t="shared" si="0"/>
        <v>19.3716713203032</v>
      </c>
      <c r="H11" s="69">
        <f t="shared" si="0"/>
        <v>1.07443159154368</v>
      </c>
    </row>
    <row r="12" ht="15.6" customHeight="1" spans="1:11">
      <c r="A12" s="123" t="s">
        <v>1499</v>
      </c>
      <c r="B12" s="11" t="s">
        <v>1500</v>
      </c>
      <c r="C12" s="69">
        <f>2.7</f>
        <v>2.7</v>
      </c>
      <c r="D12" s="7">
        <f>2.4</f>
        <v>2.4</v>
      </c>
      <c r="E12" s="7">
        <f>2.4</f>
        <v>2.4</v>
      </c>
      <c r="F12" s="7">
        <f>2.4</f>
        <v>2.4</v>
      </c>
      <c r="G12" s="7">
        <f>2.4</f>
        <v>2.4</v>
      </c>
      <c r="H12" s="7">
        <f>2</f>
        <v>2</v>
      </c>
      <c r="I12" s="148" t="s">
        <v>1500</v>
      </c>
      <c r="J12" s="149">
        <f>材料预算价!K29</f>
        <v>8.1</v>
      </c>
      <c r="K12" s="150" t="s">
        <v>1501</v>
      </c>
    </row>
    <row r="13" ht="15.6" customHeight="1" spans="1:11">
      <c r="A13" s="123"/>
      <c r="B13" s="11" t="s">
        <v>1502</v>
      </c>
      <c r="C13" s="7"/>
      <c r="D13" s="7"/>
      <c r="E13" s="7"/>
      <c r="F13" s="7"/>
      <c r="G13" s="7"/>
      <c r="H13" s="7"/>
      <c r="I13" s="148" t="s">
        <v>1502</v>
      </c>
      <c r="J13" s="150">
        <f>材料预算价!L12</f>
        <v>3.075</v>
      </c>
      <c r="K13" s="150" t="s">
        <v>1503</v>
      </c>
    </row>
    <row r="14" ht="15.6" customHeight="1" spans="1:11">
      <c r="A14" s="123"/>
      <c r="B14" s="11" t="s">
        <v>1504</v>
      </c>
      <c r="C14" s="7">
        <v>14.2</v>
      </c>
      <c r="D14" s="7">
        <v>8.4</v>
      </c>
      <c r="E14" s="7">
        <v>10.6</v>
      </c>
      <c r="F14" s="7">
        <v>7.9</v>
      </c>
      <c r="G14" s="7">
        <v>9.9</v>
      </c>
      <c r="H14" s="7"/>
      <c r="I14" s="148" t="s">
        <v>1504</v>
      </c>
      <c r="J14" s="150">
        <f>材料预算价!L11</f>
        <v>2.99</v>
      </c>
      <c r="K14" s="150" t="s">
        <v>1503</v>
      </c>
    </row>
    <row r="15" ht="15.6" customHeight="1" spans="1:11">
      <c r="A15" s="123"/>
      <c r="B15" s="11" t="s">
        <v>1505</v>
      </c>
      <c r="C15" s="7"/>
      <c r="D15" s="7"/>
      <c r="E15" s="7"/>
      <c r="F15" s="7"/>
      <c r="G15" s="7"/>
      <c r="H15" s="7">
        <v>2.5</v>
      </c>
      <c r="I15" s="148" t="s">
        <v>1505</v>
      </c>
      <c r="J15" s="151">
        <f>材料预算价!K27</f>
        <v>0.53</v>
      </c>
      <c r="K15" s="150" t="s">
        <v>1506</v>
      </c>
    </row>
    <row r="16" ht="15.6" customHeight="1" spans="1:11">
      <c r="A16" s="123"/>
      <c r="B16" s="11" t="s">
        <v>1507</v>
      </c>
      <c r="C16" s="7"/>
      <c r="D16" s="7"/>
      <c r="E16" s="7"/>
      <c r="F16" s="7"/>
      <c r="G16" s="7"/>
      <c r="H16" s="7"/>
      <c r="I16" s="148" t="s">
        <v>1507</v>
      </c>
      <c r="J16" s="151">
        <f>材料预算价!K26</f>
        <v>0.11</v>
      </c>
      <c r="K16" s="150" t="s">
        <v>1508</v>
      </c>
    </row>
    <row r="17" ht="15.6" customHeight="1" spans="1:11">
      <c r="A17" s="123"/>
      <c r="B17" s="11" t="s">
        <v>1509</v>
      </c>
      <c r="C17" s="7"/>
      <c r="D17" s="7"/>
      <c r="E17" s="7"/>
      <c r="F17" s="7"/>
      <c r="G17" s="7"/>
      <c r="H17" s="7"/>
      <c r="I17" s="148" t="s">
        <v>1509</v>
      </c>
      <c r="J17" s="152">
        <f>材料预算价!K13</f>
        <v>3.59</v>
      </c>
      <c r="K17" s="150" t="s">
        <v>1508</v>
      </c>
    </row>
    <row r="18" ht="15.6" customHeight="1" spans="1:11">
      <c r="A18" s="123"/>
      <c r="B18" s="11" t="s">
        <v>1510</v>
      </c>
      <c r="C18" s="7"/>
      <c r="D18" s="7"/>
      <c r="E18" s="7"/>
      <c r="F18" s="7"/>
      <c r="G18" s="7"/>
      <c r="H18" s="7"/>
      <c r="I18" s="148" t="s">
        <v>1510</v>
      </c>
      <c r="J18" s="150">
        <v>0.5</v>
      </c>
      <c r="K18" s="150" t="s">
        <v>1503</v>
      </c>
    </row>
    <row r="19" ht="15.6" customHeight="1" spans="1:11">
      <c r="A19" s="123"/>
      <c r="B19" s="11" t="s">
        <v>1161</v>
      </c>
      <c r="C19" s="7"/>
      <c r="D19" s="7"/>
      <c r="E19" s="7"/>
      <c r="F19" s="7"/>
      <c r="G19" s="7"/>
      <c r="H19" s="7"/>
      <c r="I19" s="148" t="s">
        <v>1161</v>
      </c>
      <c r="J19" s="150">
        <v>0.5</v>
      </c>
      <c r="K19" s="150" t="s">
        <v>1503</v>
      </c>
    </row>
    <row r="20" ht="15.6" customHeight="1" spans="1:8">
      <c r="A20" s="123"/>
      <c r="B20" s="11" t="s">
        <v>1119</v>
      </c>
      <c r="C20" s="69">
        <f>C12*J12+C14*J14</f>
        <v>64.328</v>
      </c>
      <c r="D20" s="69">
        <f>D12*J12+D14*J14</f>
        <v>44.556</v>
      </c>
      <c r="E20" s="69">
        <f>E12*J12+E14*J14</f>
        <v>51.134</v>
      </c>
      <c r="F20" s="69">
        <f>F12*J12+F14*J14</f>
        <v>43.061</v>
      </c>
      <c r="G20" s="69">
        <f>G12*J12+G14*J14</f>
        <v>49.041</v>
      </c>
      <c r="H20" s="69">
        <f>H12*J12+H15*J15</f>
        <v>17.525</v>
      </c>
    </row>
    <row r="21" ht="15.6" customHeight="1" spans="1:8">
      <c r="A21" s="146" t="s">
        <v>1511</v>
      </c>
      <c r="B21" s="147"/>
      <c r="C21" s="69">
        <f t="shared" ref="C21:H21" si="1">C11+C20</f>
        <v>118.94887754288</v>
      </c>
      <c r="D21" s="69">
        <f t="shared" si="1"/>
        <v>66.3822584762664</v>
      </c>
      <c r="E21" s="69">
        <f t="shared" si="1"/>
        <v>89.4423446350219</v>
      </c>
      <c r="F21" s="69">
        <f t="shared" si="1"/>
        <v>54.6627510969286</v>
      </c>
      <c r="G21" s="69">
        <f t="shared" si="1"/>
        <v>68.4126713203031</v>
      </c>
      <c r="H21" s="69">
        <f t="shared" si="1"/>
        <v>18.5994315915437</v>
      </c>
    </row>
    <row r="22" ht="15.6" customHeight="1" spans="1:8">
      <c r="A22" s="111" t="s">
        <v>1483</v>
      </c>
      <c r="B22" s="111"/>
      <c r="C22" s="111"/>
      <c r="D22" s="111"/>
      <c r="E22" s="111"/>
      <c r="F22" s="111"/>
      <c r="G22" s="111"/>
      <c r="H22" s="111"/>
    </row>
    <row r="23" ht="15.6" customHeight="1" spans="1:8">
      <c r="A23" s="111"/>
      <c r="B23" s="111"/>
      <c r="C23" s="111"/>
      <c r="D23" s="111"/>
      <c r="E23" s="111"/>
      <c r="F23" s="111"/>
      <c r="G23" s="111"/>
      <c r="H23" s="111"/>
    </row>
    <row r="24" ht="15.6" customHeight="1" spans="1:8">
      <c r="A24" s="111"/>
      <c r="B24" s="111"/>
      <c r="C24" s="111"/>
      <c r="D24" s="111"/>
      <c r="E24" s="111"/>
      <c r="F24" s="111"/>
      <c r="G24" s="111"/>
      <c r="H24" s="111"/>
    </row>
    <row r="25" ht="15.6" customHeight="1" spans="1:8">
      <c r="A25" s="7" t="s">
        <v>1</v>
      </c>
      <c r="B25" s="7"/>
      <c r="C25" s="7">
        <v>7</v>
      </c>
      <c r="D25" s="7">
        <v>8</v>
      </c>
      <c r="E25" s="7">
        <v>9</v>
      </c>
      <c r="F25" s="7">
        <v>10</v>
      </c>
      <c r="G25" s="7">
        <v>11</v>
      </c>
      <c r="H25" s="7">
        <v>12</v>
      </c>
    </row>
    <row r="26" ht="15.6" customHeight="1" spans="1:8">
      <c r="A26" s="7" t="s">
        <v>1485</v>
      </c>
      <c r="B26" s="7"/>
      <c r="C26" s="7" t="s">
        <v>1512</v>
      </c>
      <c r="D26" s="7" t="s">
        <v>1513</v>
      </c>
      <c r="E26" s="7" t="s">
        <v>1514</v>
      </c>
      <c r="F26" s="7" t="s">
        <v>1515</v>
      </c>
      <c r="G26" s="7" t="s">
        <v>1095</v>
      </c>
      <c r="H26" s="7" t="s">
        <v>1516</v>
      </c>
    </row>
    <row r="27" ht="15.6" customHeight="1" spans="1:8">
      <c r="A27" s="7" t="s">
        <v>1517</v>
      </c>
      <c r="B27" s="7"/>
      <c r="C27" s="7"/>
      <c r="D27" s="7" t="s">
        <v>1518</v>
      </c>
      <c r="E27" s="7" t="s">
        <v>1519</v>
      </c>
      <c r="F27" s="7" t="s">
        <v>1520</v>
      </c>
      <c r="G27" s="7"/>
      <c r="H27" s="7" t="s">
        <v>1521</v>
      </c>
    </row>
    <row r="28" ht="15.6" customHeight="1" spans="1:8">
      <c r="A28" s="7" t="s">
        <v>1494</v>
      </c>
      <c r="B28" s="7"/>
      <c r="C28" s="7">
        <v>3031</v>
      </c>
      <c r="D28" s="7">
        <v>2002</v>
      </c>
      <c r="E28" s="7">
        <v>2021</v>
      </c>
      <c r="F28" s="7">
        <v>2009</v>
      </c>
      <c r="G28" s="7">
        <v>2022</v>
      </c>
      <c r="H28" s="7">
        <v>3002</v>
      </c>
    </row>
    <row r="29" ht="15.6" customHeight="1" spans="1:8">
      <c r="A29" s="123" t="s">
        <v>1522</v>
      </c>
      <c r="B29" s="11" t="s">
        <v>1496</v>
      </c>
      <c r="C29" s="7">
        <v>0.26</v>
      </c>
      <c r="D29" s="7">
        <v>3.29</v>
      </c>
      <c r="E29" s="7">
        <v>0.61</v>
      </c>
      <c r="F29" s="7">
        <v>0.32</v>
      </c>
      <c r="G29" s="7">
        <v>0.24</v>
      </c>
      <c r="H29" s="7">
        <v>7.77</v>
      </c>
    </row>
    <row r="30" ht="15.6" customHeight="1" spans="1:8">
      <c r="A30" s="123"/>
      <c r="B30" s="11" t="s">
        <v>1497</v>
      </c>
      <c r="C30" s="7">
        <v>0.64</v>
      </c>
      <c r="D30" s="7">
        <v>5.34</v>
      </c>
      <c r="E30" s="7">
        <v>1.92</v>
      </c>
      <c r="F30" s="7">
        <v>1.22</v>
      </c>
      <c r="G30" s="7">
        <v>0.42</v>
      </c>
      <c r="H30" s="7">
        <v>10.86</v>
      </c>
    </row>
    <row r="31" ht="15.6" customHeight="1" spans="1:8">
      <c r="A31" s="123"/>
      <c r="B31" s="11" t="s">
        <v>1498</v>
      </c>
      <c r="C31" s="7"/>
      <c r="D31" s="7">
        <v>1.07</v>
      </c>
      <c r="E31" s="7"/>
      <c r="F31" s="7"/>
      <c r="G31" s="7"/>
      <c r="H31" s="7"/>
    </row>
    <row r="32" ht="15.6" customHeight="1" spans="1:8">
      <c r="A32" s="123"/>
      <c r="B32" s="11" t="s">
        <v>1119</v>
      </c>
      <c r="C32" s="69">
        <f t="shared" ref="C32:H32" si="2">C29/1.15+C30/1.09+C31</f>
        <v>0.813242919824491</v>
      </c>
      <c r="D32" s="69">
        <f t="shared" si="2"/>
        <v>8.82995213402473</v>
      </c>
      <c r="E32" s="69">
        <f t="shared" si="2"/>
        <v>2.29190267251695</v>
      </c>
      <c r="F32" s="69">
        <f t="shared" si="2"/>
        <v>1.39752692461109</v>
      </c>
      <c r="G32" s="69">
        <f t="shared" si="2"/>
        <v>0.594016753091344</v>
      </c>
      <c r="H32" s="69">
        <f t="shared" si="2"/>
        <v>16.719824491424</v>
      </c>
    </row>
    <row r="33" ht="15.6" customHeight="1" spans="1:8">
      <c r="A33" s="123" t="s">
        <v>1499</v>
      </c>
      <c r="B33" s="11" t="s">
        <v>1500</v>
      </c>
      <c r="C33" s="7"/>
      <c r="D33" s="7">
        <f>1.3</f>
        <v>1.3</v>
      </c>
      <c r="E33" s="7"/>
      <c r="F33" s="7"/>
      <c r="G33" s="7"/>
      <c r="H33" s="7">
        <v>1.3</v>
      </c>
    </row>
    <row r="34" ht="15.6" customHeight="1" spans="1:8">
      <c r="A34" s="123"/>
      <c r="B34" s="11" t="s">
        <v>1502</v>
      </c>
      <c r="C34" s="7"/>
      <c r="D34" s="7"/>
      <c r="E34" s="7"/>
      <c r="F34" s="7"/>
      <c r="G34" s="7"/>
      <c r="H34" s="7">
        <v>7.2</v>
      </c>
    </row>
    <row r="35" ht="15.6" customHeight="1" spans="1:8">
      <c r="A35" s="123"/>
      <c r="B35" s="11" t="s">
        <v>1504</v>
      </c>
      <c r="C35" s="7"/>
      <c r="D35" s="7"/>
      <c r="E35" s="7"/>
      <c r="F35" s="7"/>
      <c r="G35" s="7"/>
      <c r="H35" s="7"/>
    </row>
    <row r="36" ht="15.6" customHeight="1" spans="1:8">
      <c r="A36" s="123"/>
      <c r="B36" s="11" t="s">
        <v>1523</v>
      </c>
      <c r="C36" s="7"/>
      <c r="D36" s="7">
        <v>8.6</v>
      </c>
      <c r="E36" s="7"/>
      <c r="F36" s="7">
        <v>0.8</v>
      </c>
      <c r="G36" s="7"/>
      <c r="H36" s="7"/>
    </row>
    <row r="37" ht="15.6" customHeight="1" spans="1:8">
      <c r="A37" s="123"/>
      <c r="B37" s="11" t="s">
        <v>1524</v>
      </c>
      <c r="C37" s="7"/>
      <c r="D37" s="7"/>
      <c r="E37" s="7"/>
      <c r="F37" s="7"/>
      <c r="G37" s="7">
        <v>202.5</v>
      </c>
      <c r="H37" s="7"/>
    </row>
    <row r="38" ht="15.6" customHeight="1" spans="1:8">
      <c r="A38" s="123"/>
      <c r="B38" s="11" t="s">
        <v>913</v>
      </c>
      <c r="C38" s="7"/>
      <c r="D38" s="7"/>
      <c r="E38" s="7"/>
      <c r="F38" s="7"/>
      <c r="G38" s="7">
        <v>4.1</v>
      </c>
      <c r="H38" s="7"/>
    </row>
    <row r="39" ht="15.6" customHeight="1" spans="1:8">
      <c r="A39" s="123"/>
      <c r="B39" s="11" t="s">
        <v>1510</v>
      </c>
      <c r="C39" s="7"/>
      <c r="D39" s="7"/>
      <c r="E39" s="7"/>
      <c r="F39" s="7"/>
      <c r="G39" s="7"/>
      <c r="H39" s="7"/>
    </row>
    <row r="40" ht="15.6" customHeight="1" spans="1:8">
      <c r="A40" s="123"/>
      <c r="B40" s="11" t="s">
        <v>1161</v>
      </c>
      <c r="C40" s="7"/>
      <c r="D40" s="7"/>
      <c r="E40" s="7"/>
      <c r="F40" s="7"/>
      <c r="G40" s="7"/>
      <c r="H40" s="7"/>
    </row>
    <row r="41" ht="15.6" customHeight="1" spans="1:8">
      <c r="A41" s="123"/>
      <c r="B41" s="11" t="s">
        <v>1119</v>
      </c>
      <c r="C41" s="69">
        <f t="shared" ref="C41:H41" si="3">C33*$J$12+C34*$J$13+C35*$J$14+C36*$J$15+C37*$J$16+C38*$J$17+C39*$J$18+C40*$J$19</f>
        <v>0</v>
      </c>
      <c r="D41" s="69">
        <f t="shared" si="3"/>
        <v>15.088</v>
      </c>
      <c r="E41" s="69">
        <f t="shared" si="3"/>
        <v>0</v>
      </c>
      <c r="F41" s="69">
        <f t="shared" si="3"/>
        <v>0.424</v>
      </c>
      <c r="G41" s="69">
        <f t="shared" si="3"/>
        <v>36.994</v>
      </c>
      <c r="H41" s="69">
        <f t="shared" si="3"/>
        <v>32.67</v>
      </c>
    </row>
    <row r="42" ht="15.6" customHeight="1" spans="1:8">
      <c r="A42" s="146" t="s">
        <v>1511</v>
      </c>
      <c r="B42" s="147"/>
      <c r="C42" s="69">
        <f t="shared" ref="C42:H42" si="4">C32+C41</f>
        <v>0.813242919824491</v>
      </c>
      <c r="D42" s="69">
        <f t="shared" si="4"/>
        <v>23.9179521340247</v>
      </c>
      <c r="E42" s="69">
        <f t="shared" si="4"/>
        <v>2.29190267251695</v>
      </c>
      <c r="F42" s="69">
        <f t="shared" si="4"/>
        <v>1.82152692461109</v>
      </c>
      <c r="G42" s="69">
        <f t="shared" si="4"/>
        <v>37.5880167530913</v>
      </c>
      <c r="H42" s="69">
        <f t="shared" si="4"/>
        <v>49.389824491424</v>
      </c>
    </row>
    <row r="43" ht="15.6" customHeight="1" spans="1:8">
      <c r="A43" s="111" t="s">
        <v>1483</v>
      </c>
      <c r="B43" s="111"/>
      <c r="C43" s="111"/>
      <c r="D43" s="111"/>
      <c r="E43" s="111"/>
      <c r="F43" s="111"/>
      <c r="G43" s="111"/>
      <c r="H43" s="111"/>
    </row>
    <row r="44" ht="15.6" customHeight="1" spans="1:8">
      <c r="A44" s="111"/>
      <c r="B44" s="111"/>
      <c r="C44" s="111"/>
      <c r="D44" s="111"/>
      <c r="E44" s="111"/>
      <c r="F44" s="111"/>
      <c r="G44" s="111"/>
      <c r="H44" s="111"/>
    </row>
    <row r="45" ht="15.6" customHeight="1" spans="1:8">
      <c r="A45" s="111"/>
      <c r="B45" s="111"/>
      <c r="C45" s="111"/>
      <c r="D45" s="111"/>
      <c r="E45" s="111"/>
      <c r="F45" s="111"/>
      <c r="G45" s="111"/>
      <c r="H45" s="111"/>
    </row>
    <row r="46" ht="15.6" customHeight="1" spans="1:8">
      <c r="A46" s="7" t="s">
        <v>1</v>
      </c>
      <c r="B46" s="7"/>
      <c r="C46" s="7">
        <v>13</v>
      </c>
      <c r="D46" s="7">
        <v>14</v>
      </c>
      <c r="E46" s="7">
        <v>15</v>
      </c>
      <c r="F46" s="7">
        <v>16</v>
      </c>
      <c r="G46" s="7">
        <v>17</v>
      </c>
      <c r="H46" s="7">
        <v>18</v>
      </c>
    </row>
    <row r="47" ht="15.6" customHeight="1" spans="1:8">
      <c r="A47" s="7" t="s">
        <v>1485</v>
      </c>
      <c r="B47" s="7"/>
      <c r="C47" s="7" t="s">
        <v>1516</v>
      </c>
      <c r="D47" s="7" t="s">
        <v>1525</v>
      </c>
      <c r="E47" s="7" t="s">
        <v>1526</v>
      </c>
      <c r="F47" s="7" t="s">
        <v>1527</v>
      </c>
      <c r="G47" s="7" t="s">
        <v>1528</v>
      </c>
      <c r="H47" s="7" t="s">
        <v>1529</v>
      </c>
    </row>
    <row r="48" ht="15.6" customHeight="1" spans="1:8">
      <c r="A48" s="7" t="s">
        <v>1517</v>
      </c>
      <c r="B48" s="7"/>
      <c r="C48" s="7" t="s">
        <v>1530</v>
      </c>
      <c r="D48" s="7" t="s">
        <v>1521</v>
      </c>
      <c r="E48" s="7" t="s">
        <v>1531</v>
      </c>
      <c r="F48" s="7" t="s">
        <v>1530</v>
      </c>
      <c r="G48" s="7" t="s">
        <v>1530</v>
      </c>
      <c r="H48" s="7" t="s">
        <v>1521</v>
      </c>
    </row>
    <row r="49" ht="15.6" customHeight="1" spans="1:8">
      <c r="A49" s="7" t="s">
        <v>1494</v>
      </c>
      <c r="B49" s="7"/>
      <c r="C49" s="7">
        <v>3003</v>
      </c>
      <c r="D49" s="7">
        <v>3005</v>
      </c>
      <c r="E49" s="7">
        <v>4007</v>
      </c>
      <c r="F49" s="7">
        <v>4004</v>
      </c>
      <c r="G49" s="7">
        <v>4018</v>
      </c>
      <c r="H49" s="7">
        <v>4070</v>
      </c>
    </row>
    <row r="50" ht="15.6" customHeight="1" spans="1:8">
      <c r="A50" s="123" t="s">
        <v>1522</v>
      </c>
      <c r="B50" s="11" t="s">
        <v>1496</v>
      </c>
      <c r="C50" s="7">
        <v>20.95</v>
      </c>
      <c r="D50" s="7">
        <v>10.73</v>
      </c>
      <c r="E50" s="7">
        <v>102.67</v>
      </c>
      <c r="F50" s="7">
        <v>41.37</v>
      </c>
      <c r="G50" s="7">
        <v>31.79</v>
      </c>
      <c r="H50" s="7">
        <v>2.97</v>
      </c>
    </row>
    <row r="51" ht="15.6" customHeight="1" spans="1:8">
      <c r="A51" s="123"/>
      <c r="B51" s="11" t="s">
        <v>1497</v>
      </c>
      <c r="C51" s="7">
        <v>20.82</v>
      </c>
      <c r="D51" s="7">
        <v>5.37</v>
      </c>
      <c r="E51" s="7">
        <v>33.87</v>
      </c>
      <c r="F51" s="7">
        <v>16.89</v>
      </c>
      <c r="G51" s="7">
        <v>18.69</v>
      </c>
      <c r="H51" s="7">
        <v>1.16</v>
      </c>
    </row>
    <row r="52" ht="15.6" customHeight="1" spans="1:8">
      <c r="A52" s="123"/>
      <c r="B52" s="11" t="s">
        <v>1498</v>
      </c>
      <c r="C52" s="7"/>
      <c r="D52" s="7"/>
      <c r="E52" s="7"/>
      <c r="F52" s="7">
        <v>3.1</v>
      </c>
      <c r="G52" s="7">
        <v>1.18</v>
      </c>
      <c r="H52" s="7">
        <v>0.05</v>
      </c>
    </row>
    <row r="53" ht="15.6" customHeight="1" spans="1:8">
      <c r="A53" s="123"/>
      <c r="B53" s="7" t="s">
        <v>1119</v>
      </c>
      <c r="C53" s="69">
        <f t="shared" ref="C53:H53" si="5">C50/1.15+C51/1.09+C52</f>
        <v>37.3183087355405</v>
      </c>
      <c r="D53" s="69">
        <f t="shared" si="5"/>
        <v>14.2570402871959</v>
      </c>
      <c r="E53" s="69">
        <f t="shared" si="5"/>
        <v>120.351655364978</v>
      </c>
      <c r="F53" s="69">
        <f t="shared" si="5"/>
        <v>54.569325887515</v>
      </c>
      <c r="G53" s="69">
        <f t="shared" si="5"/>
        <v>45.9702672516953</v>
      </c>
      <c r="H53" s="69">
        <f t="shared" si="5"/>
        <v>3.69682887913841</v>
      </c>
    </row>
    <row r="54" ht="15.6" customHeight="1" spans="1:8">
      <c r="A54" s="123" t="s">
        <v>1499</v>
      </c>
      <c r="B54" s="7" t="s">
        <v>1500</v>
      </c>
      <c r="C54" s="7">
        <v>1.3</v>
      </c>
      <c r="D54" s="7">
        <v>1.3</v>
      </c>
      <c r="E54" s="7">
        <v>3.9</v>
      </c>
      <c r="F54" s="7">
        <v>2.7</v>
      </c>
      <c r="G54" s="7">
        <v>2.4</v>
      </c>
      <c r="H54" s="7">
        <v>1.3</v>
      </c>
    </row>
    <row r="55" ht="15.6" customHeight="1" spans="1:8">
      <c r="A55" s="123"/>
      <c r="B55" s="7" t="s">
        <v>1502</v>
      </c>
      <c r="C55" s="7"/>
      <c r="D55" s="7"/>
      <c r="E55" s="7"/>
      <c r="F55" s="7"/>
      <c r="G55" s="7"/>
      <c r="H55" s="7"/>
    </row>
    <row r="56" ht="15.6" customHeight="1" spans="1:8">
      <c r="A56" s="123"/>
      <c r="B56" s="7" t="s">
        <v>1504</v>
      </c>
      <c r="C56" s="7">
        <v>8.9</v>
      </c>
      <c r="D56" s="7">
        <v>9.1</v>
      </c>
      <c r="E56" s="7"/>
      <c r="F56" s="7"/>
      <c r="G56" s="7">
        <v>8.3</v>
      </c>
      <c r="H56" s="7"/>
    </row>
    <row r="57" ht="15.6" customHeight="1" spans="1:8">
      <c r="A57" s="123"/>
      <c r="B57" s="7" t="s">
        <v>1523</v>
      </c>
      <c r="C57" s="7"/>
      <c r="D57" s="7"/>
      <c r="E57" s="7">
        <v>90.8</v>
      </c>
      <c r="F57" s="7">
        <v>36.7</v>
      </c>
      <c r="G57" s="7"/>
      <c r="H57" s="7">
        <v>7.9</v>
      </c>
    </row>
    <row r="58" ht="15.6" customHeight="1" spans="1:8">
      <c r="A58" s="123"/>
      <c r="B58" s="7" t="s">
        <v>1524</v>
      </c>
      <c r="C58" s="7"/>
      <c r="D58" s="7"/>
      <c r="E58" s="7"/>
      <c r="F58" s="7"/>
      <c r="G58" s="7"/>
      <c r="H58" s="7"/>
    </row>
    <row r="59" ht="15.6" customHeight="1" spans="1:8">
      <c r="A59" s="123"/>
      <c r="B59" s="7" t="s">
        <v>913</v>
      </c>
      <c r="C59" s="7"/>
      <c r="D59" s="7"/>
      <c r="E59" s="7"/>
      <c r="F59" s="7"/>
      <c r="G59" s="7"/>
      <c r="H59" s="7"/>
    </row>
    <row r="60" ht="15.6" customHeight="1" spans="1:8">
      <c r="A60" s="123"/>
      <c r="B60" s="7" t="s">
        <v>1510</v>
      </c>
      <c r="C60" s="7"/>
      <c r="D60" s="7"/>
      <c r="E60" s="7"/>
      <c r="F60" s="7"/>
      <c r="G60" s="7"/>
      <c r="H60" s="7"/>
    </row>
    <row r="61" ht="15.6" customHeight="1" spans="1:8">
      <c r="A61" s="123"/>
      <c r="B61" s="7" t="s">
        <v>1161</v>
      </c>
      <c r="C61" s="7"/>
      <c r="D61" s="69"/>
      <c r="E61" s="69"/>
      <c r="F61" s="69"/>
      <c r="G61" s="69"/>
      <c r="H61" s="7"/>
    </row>
    <row r="62" ht="15.6" customHeight="1" spans="1:8">
      <c r="A62" s="123"/>
      <c r="B62" s="7" t="s">
        <v>1119</v>
      </c>
      <c r="C62" s="69">
        <f t="shared" ref="C62:H62" si="6">C54*$J$12+C55*$J$13+C56*$J$14+C57*$J$15+C58*$J$16+C59*$J$17+C60*$J$18+C61*$J$19</f>
        <v>37.141</v>
      </c>
      <c r="D62" s="69">
        <f t="shared" si="6"/>
        <v>37.739</v>
      </c>
      <c r="E62" s="69">
        <f t="shared" si="6"/>
        <v>79.714</v>
      </c>
      <c r="F62" s="69">
        <f t="shared" si="6"/>
        <v>41.321</v>
      </c>
      <c r="G62" s="69">
        <f t="shared" si="6"/>
        <v>44.257</v>
      </c>
      <c r="H62" s="69">
        <f t="shared" si="6"/>
        <v>14.717</v>
      </c>
    </row>
    <row r="63" ht="15.6" customHeight="1" spans="1:8">
      <c r="A63" s="146" t="s">
        <v>1511</v>
      </c>
      <c r="B63" s="147"/>
      <c r="C63" s="34">
        <f t="shared" ref="C63:H63" si="7">C53+C62</f>
        <v>74.4593087355405</v>
      </c>
      <c r="D63" s="34">
        <f t="shared" si="7"/>
        <v>51.9960402871959</v>
      </c>
      <c r="E63" s="34">
        <f t="shared" si="7"/>
        <v>200.065655364978</v>
      </c>
      <c r="F63" s="34">
        <f t="shared" si="7"/>
        <v>95.890325887515</v>
      </c>
      <c r="G63" s="34">
        <f t="shared" si="7"/>
        <v>90.2272672516953</v>
      </c>
      <c r="H63" s="34">
        <f t="shared" si="7"/>
        <v>18.4138288791384</v>
      </c>
    </row>
    <row r="64" ht="15.6" customHeight="1" spans="1:8">
      <c r="A64" s="111" t="s">
        <v>1483</v>
      </c>
      <c r="B64" s="111"/>
      <c r="C64" s="111"/>
      <c r="D64" s="111"/>
      <c r="E64" s="111"/>
      <c r="F64" s="111"/>
      <c r="G64" s="111"/>
      <c r="H64" s="111"/>
    </row>
    <row r="65" ht="15.6" customHeight="1" spans="1:8">
      <c r="A65" s="111"/>
      <c r="B65" s="111"/>
      <c r="C65" s="111"/>
      <c r="D65" s="111"/>
      <c r="E65" s="111"/>
      <c r="F65" s="111"/>
      <c r="G65" s="111"/>
      <c r="H65" s="111"/>
    </row>
    <row r="66" ht="15.6" customHeight="1" spans="1:8">
      <c r="A66" s="111"/>
      <c r="B66" s="111"/>
      <c r="C66" s="111"/>
      <c r="D66" s="111"/>
      <c r="E66" s="111"/>
      <c r="F66" s="111"/>
      <c r="G66" s="111"/>
      <c r="H66" s="111"/>
    </row>
    <row r="67" ht="15.6" customHeight="1" spans="1:8">
      <c r="A67" s="7" t="s">
        <v>1</v>
      </c>
      <c r="B67" s="7"/>
      <c r="C67" s="7">
        <v>19</v>
      </c>
      <c r="D67" s="7">
        <v>20</v>
      </c>
      <c r="E67" s="7">
        <v>21</v>
      </c>
      <c r="F67" s="7">
        <v>22</v>
      </c>
      <c r="G67" s="7">
        <v>23</v>
      </c>
      <c r="H67" s="7">
        <v>24</v>
      </c>
    </row>
    <row r="68" ht="15.6" customHeight="1" spans="1:8">
      <c r="A68" s="7" t="s">
        <v>1485</v>
      </c>
      <c r="B68" s="7"/>
      <c r="C68" s="7" t="s">
        <v>1515</v>
      </c>
      <c r="D68" s="7" t="s">
        <v>1532</v>
      </c>
      <c r="E68" s="7" t="s">
        <v>1532</v>
      </c>
      <c r="F68" s="7" t="s">
        <v>1533</v>
      </c>
      <c r="G68" s="7" t="s">
        <v>1534</v>
      </c>
      <c r="H68" s="7" t="s">
        <v>1535</v>
      </c>
    </row>
    <row r="69" ht="15.6" customHeight="1" spans="1:8">
      <c r="A69" s="7" t="s">
        <v>1517</v>
      </c>
      <c r="B69" s="7"/>
      <c r="C69" s="7" t="s">
        <v>1536</v>
      </c>
      <c r="D69" s="7" t="s">
        <v>1537</v>
      </c>
      <c r="E69" s="7" t="s">
        <v>1538</v>
      </c>
      <c r="F69" s="7" t="s">
        <v>1521</v>
      </c>
      <c r="G69" s="9" t="s">
        <v>1539</v>
      </c>
      <c r="H69" s="7" t="s">
        <v>1540</v>
      </c>
    </row>
    <row r="70" ht="15.6" customHeight="1" spans="1:8">
      <c r="A70" s="7" t="s">
        <v>1494</v>
      </c>
      <c r="B70" s="7"/>
      <c r="C70" s="7">
        <v>2012</v>
      </c>
      <c r="D70" s="7">
        <v>8036</v>
      </c>
      <c r="E70" s="7">
        <v>8033</v>
      </c>
      <c r="F70" s="7">
        <v>4027</v>
      </c>
      <c r="G70" s="7">
        <v>8005</v>
      </c>
      <c r="H70" s="7">
        <v>1030</v>
      </c>
    </row>
    <row r="71" ht="15.6" customHeight="1" spans="1:8">
      <c r="A71" s="123" t="s">
        <v>1522</v>
      </c>
      <c r="B71" s="11" t="s">
        <v>1496</v>
      </c>
      <c r="C71" s="7">
        <v>0.43</v>
      </c>
      <c r="D71" s="7">
        <v>1.03</v>
      </c>
      <c r="E71" s="7">
        <v>0.33</v>
      </c>
      <c r="F71" s="7">
        <v>12.92</v>
      </c>
      <c r="G71" s="7">
        <v>0.31</v>
      </c>
      <c r="H71" s="7">
        <v>1.27</v>
      </c>
    </row>
    <row r="72" ht="15.6" customHeight="1" spans="1:8">
      <c r="A72" s="123"/>
      <c r="B72" s="11" t="s">
        <v>1497</v>
      </c>
      <c r="C72" s="7">
        <v>1.24</v>
      </c>
      <c r="D72" s="7">
        <v>0.68</v>
      </c>
      <c r="E72" s="7">
        <v>0.3</v>
      </c>
      <c r="F72" s="7">
        <v>12.42</v>
      </c>
      <c r="G72" s="7">
        <v>1.76</v>
      </c>
      <c r="H72" s="7">
        <v>1.06</v>
      </c>
    </row>
    <row r="73" ht="15.6" customHeight="1" spans="1:8">
      <c r="A73" s="123"/>
      <c r="B73" s="11" t="s">
        <v>1498</v>
      </c>
      <c r="C73" s="7"/>
      <c r="D73" s="7">
        <v>0.19</v>
      </c>
      <c r="E73" s="7">
        <v>0.09</v>
      </c>
      <c r="F73" s="7"/>
      <c r="G73" s="7">
        <v>0.51</v>
      </c>
      <c r="H73" s="7"/>
    </row>
    <row r="74" ht="15.6" customHeight="1" spans="1:8">
      <c r="A74" s="123"/>
      <c r="B74" s="7" t="s">
        <v>1119</v>
      </c>
      <c r="C74" s="69">
        <f t="shared" ref="C74:H74" si="8">C71/1.15+C72/1.09+C73</f>
        <v>1.51152772237734</v>
      </c>
      <c r="D74" s="69">
        <f t="shared" si="8"/>
        <v>1.70950538492222</v>
      </c>
      <c r="E74" s="69">
        <f t="shared" si="8"/>
        <v>0.652185879537296</v>
      </c>
      <c r="F74" s="69">
        <f t="shared" si="8"/>
        <v>22.6292780215397</v>
      </c>
      <c r="G74" s="69">
        <f t="shared" si="8"/>
        <v>2.39424411647387</v>
      </c>
      <c r="H74" s="69">
        <f t="shared" si="8"/>
        <v>2.07682489030714</v>
      </c>
    </row>
    <row r="75" ht="15.6" customHeight="1" spans="1:8">
      <c r="A75" s="123" t="s">
        <v>1499</v>
      </c>
      <c r="B75" s="7" t="s">
        <v>1500</v>
      </c>
      <c r="C75" s="7"/>
      <c r="D75" s="7"/>
      <c r="E75" s="7"/>
      <c r="F75" s="7">
        <v>2.7</v>
      </c>
      <c r="G75" s="7">
        <v>1.3</v>
      </c>
      <c r="H75" s="7"/>
    </row>
    <row r="76" ht="15.6" customHeight="1" spans="1:8">
      <c r="A76" s="123"/>
      <c r="B76" s="7" t="s">
        <v>1502</v>
      </c>
      <c r="C76" s="7"/>
      <c r="D76" s="7"/>
      <c r="E76" s="7"/>
      <c r="F76" s="7">
        <v>5.8</v>
      </c>
      <c r="G76" s="7"/>
      <c r="H76" s="7"/>
    </row>
    <row r="77" ht="15.6" customHeight="1" spans="1:8">
      <c r="A77" s="123"/>
      <c r="B77" s="7" t="s">
        <v>1504</v>
      </c>
      <c r="C77" s="7"/>
      <c r="D77" s="7"/>
      <c r="E77" s="7"/>
      <c r="F77" s="7"/>
      <c r="G77" s="7"/>
      <c r="H77" s="7"/>
    </row>
    <row r="78" ht="15.6" customHeight="1" spans="1:8">
      <c r="A78" s="123"/>
      <c r="B78" s="7" t="s">
        <v>1523</v>
      </c>
      <c r="C78" s="7">
        <v>1.7</v>
      </c>
      <c r="D78" s="7">
        <v>30</v>
      </c>
      <c r="E78" s="7">
        <v>14.5</v>
      </c>
      <c r="F78" s="7"/>
      <c r="G78" s="7">
        <v>15.5</v>
      </c>
      <c r="H78" s="7"/>
    </row>
    <row r="79" ht="15.6" customHeight="1" spans="1:8">
      <c r="A79" s="123"/>
      <c r="B79" s="7" t="s">
        <v>1524</v>
      </c>
      <c r="C79" s="7"/>
      <c r="D79" s="7"/>
      <c r="E79" s="7"/>
      <c r="F79" s="7"/>
      <c r="G79" s="7"/>
      <c r="H79" s="7"/>
    </row>
    <row r="80" ht="15.6" customHeight="1" spans="1:8">
      <c r="A80" s="123"/>
      <c r="B80" s="7" t="s">
        <v>913</v>
      </c>
      <c r="C80" s="7"/>
      <c r="D80" s="7"/>
      <c r="E80" s="7"/>
      <c r="F80" s="7"/>
      <c r="G80" s="7"/>
      <c r="H80" s="7"/>
    </row>
    <row r="81" ht="15.6" customHeight="1" spans="1:8">
      <c r="A81" s="123"/>
      <c r="B81" s="7" t="s">
        <v>1510</v>
      </c>
      <c r="C81" s="7"/>
      <c r="D81" s="7"/>
      <c r="E81" s="7"/>
      <c r="F81" s="7"/>
      <c r="G81" s="7"/>
      <c r="H81" s="7"/>
    </row>
    <row r="82" ht="15.6" customHeight="1" spans="1:8">
      <c r="A82" s="123"/>
      <c r="B82" s="7" t="s">
        <v>1161</v>
      </c>
      <c r="C82" s="7"/>
      <c r="D82" s="7"/>
      <c r="E82" s="7"/>
      <c r="F82" s="7"/>
      <c r="G82" s="7"/>
      <c r="H82" s="7"/>
    </row>
    <row r="83" ht="15.6" customHeight="1" spans="1:8">
      <c r="A83" s="123"/>
      <c r="B83" s="7" t="s">
        <v>1119</v>
      </c>
      <c r="C83" s="69">
        <f t="shared" ref="C83:H83" si="9">C75*$J$12+C76*$J$13+C77*$J$14+C78*$J$15+C79*$J$16+C80*$J$17+C81*$J$18+C82*$J$19</f>
        <v>0.901</v>
      </c>
      <c r="D83" s="69">
        <f t="shared" si="9"/>
        <v>15.9</v>
      </c>
      <c r="E83" s="69">
        <f t="shared" si="9"/>
        <v>7.685</v>
      </c>
      <c r="F83" s="69">
        <f t="shared" si="9"/>
        <v>39.705</v>
      </c>
      <c r="G83" s="69">
        <f t="shared" si="9"/>
        <v>18.745</v>
      </c>
      <c r="H83" s="69">
        <f t="shared" si="9"/>
        <v>0</v>
      </c>
    </row>
    <row r="84" ht="15.6" customHeight="1" spans="1:8">
      <c r="A84" s="146" t="s">
        <v>1511</v>
      </c>
      <c r="B84" s="147"/>
      <c r="C84" s="34">
        <f t="shared" ref="C84:H84" si="10">C74+C83</f>
        <v>2.41252772237734</v>
      </c>
      <c r="D84" s="34">
        <f t="shared" si="10"/>
        <v>17.6095053849222</v>
      </c>
      <c r="E84" s="34">
        <f t="shared" si="10"/>
        <v>8.3371858795373</v>
      </c>
      <c r="F84" s="34">
        <f t="shared" si="10"/>
        <v>62.3342780215397</v>
      </c>
      <c r="G84" s="34">
        <f t="shared" si="10"/>
        <v>21.1392441164739</v>
      </c>
      <c r="H84" s="34">
        <f t="shared" si="10"/>
        <v>2.07682489030714</v>
      </c>
    </row>
    <row r="85" ht="15.6" customHeight="1" spans="1:8">
      <c r="A85" s="111" t="s">
        <v>1483</v>
      </c>
      <c r="B85" s="111"/>
      <c r="C85" s="111"/>
      <c r="D85" s="111"/>
      <c r="E85" s="111"/>
      <c r="F85" s="111"/>
      <c r="G85" s="111"/>
      <c r="H85" s="111"/>
    </row>
    <row r="86" ht="15.6" customHeight="1" spans="1:8">
      <c r="A86" s="111"/>
      <c r="B86" s="111"/>
      <c r="C86" s="111"/>
      <c r="D86" s="111"/>
      <c r="E86" s="111"/>
      <c r="F86" s="111"/>
      <c r="G86" s="111"/>
      <c r="H86" s="111"/>
    </row>
    <row r="87" ht="15.6" customHeight="1" spans="1:8">
      <c r="A87" s="111"/>
      <c r="B87" s="111"/>
      <c r="C87" s="111"/>
      <c r="D87" s="111"/>
      <c r="E87" s="111"/>
      <c r="F87" s="111"/>
      <c r="G87" s="111"/>
      <c r="H87" s="111"/>
    </row>
    <row r="88" ht="15.6" customHeight="1" spans="1:8">
      <c r="A88" s="7" t="s">
        <v>1</v>
      </c>
      <c r="B88" s="7"/>
      <c r="C88" s="7">
        <v>25</v>
      </c>
      <c r="D88" s="7">
        <v>26</v>
      </c>
      <c r="E88" s="7">
        <v>27</v>
      </c>
      <c r="F88" s="7">
        <v>28</v>
      </c>
      <c r="G88" s="7">
        <v>29</v>
      </c>
      <c r="H88" s="7">
        <v>30</v>
      </c>
    </row>
    <row r="89" ht="15.6" customHeight="1" spans="1:8">
      <c r="A89" s="7" t="s">
        <v>1485</v>
      </c>
      <c r="B89" s="7"/>
      <c r="C89" s="7" t="s">
        <v>1488</v>
      </c>
      <c r="D89" s="7" t="s">
        <v>1541</v>
      </c>
      <c r="E89" s="7" t="s">
        <v>1542</v>
      </c>
      <c r="F89" s="9" t="s">
        <v>1543</v>
      </c>
      <c r="G89" s="7" t="s">
        <v>1527</v>
      </c>
      <c r="H89" s="7" t="s">
        <v>1544</v>
      </c>
    </row>
    <row r="90" ht="15.6" customHeight="1" spans="1:8">
      <c r="A90" s="7" t="s">
        <v>1517</v>
      </c>
      <c r="B90" s="7"/>
      <c r="C90" s="7" t="s">
        <v>1545</v>
      </c>
      <c r="D90" s="7" t="s">
        <v>1546</v>
      </c>
      <c r="E90" s="9" t="s">
        <v>1547</v>
      </c>
      <c r="F90" s="9" t="s">
        <v>1548</v>
      </c>
      <c r="G90" s="9" t="s">
        <v>1549</v>
      </c>
      <c r="H90" s="9" t="s">
        <v>1550</v>
      </c>
    </row>
    <row r="91" ht="15.6" customHeight="1" spans="1:8">
      <c r="A91" s="7" t="s">
        <v>1494</v>
      </c>
      <c r="B91" s="7"/>
      <c r="C91" s="7">
        <v>1021</v>
      </c>
      <c r="D91" s="7">
        <v>1033</v>
      </c>
      <c r="E91" s="7">
        <v>4066</v>
      </c>
      <c r="F91" s="7">
        <v>3037</v>
      </c>
      <c r="G91" s="7">
        <v>4002</v>
      </c>
      <c r="H91" s="7">
        <v>8024</v>
      </c>
    </row>
    <row r="92" ht="15.6" customHeight="1" spans="1:8">
      <c r="A92" s="123" t="s">
        <v>1522</v>
      </c>
      <c r="B92" s="11" t="s">
        <v>1496</v>
      </c>
      <c r="C92" s="7">
        <v>0.81</v>
      </c>
      <c r="D92" s="7">
        <v>10.12</v>
      </c>
      <c r="E92" s="7">
        <v>1.24</v>
      </c>
      <c r="F92" s="7">
        <v>0.43</v>
      </c>
      <c r="G92" s="7">
        <v>24.94</v>
      </c>
      <c r="H92" s="7">
        <v>0.43</v>
      </c>
    </row>
    <row r="93" ht="15.6" customHeight="1" spans="1:8">
      <c r="A93" s="123"/>
      <c r="B93" s="11" t="s">
        <v>1497</v>
      </c>
      <c r="C93" s="7">
        <v>2.12</v>
      </c>
      <c r="D93" s="7">
        <v>17.28</v>
      </c>
      <c r="E93" s="7">
        <v>0.76</v>
      </c>
      <c r="F93" s="7">
        <v>0.11</v>
      </c>
      <c r="G93" s="7">
        <v>9.17</v>
      </c>
      <c r="H93" s="7">
        <v>0.65</v>
      </c>
    </row>
    <row r="94" ht="15.6" customHeight="1" spans="1:8">
      <c r="A94" s="123"/>
      <c r="B94" s="11" t="s">
        <v>1498</v>
      </c>
      <c r="C94" s="7">
        <v>0.08</v>
      </c>
      <c r="D94" s="7"/>
      <c r="E94" s="7"/>
      <c r="F94" s="7"/>
      <c r="G94" s="7">
        <v>2.29</v>
      </c>
      <c r="H94" s="7">
        <v>0.08</v>
      </c>
    </row>
    <row r="95" ht="15.6" customHeight="1" spans="1:8">
      <c r="A95" s="123"/>
      <c r="B95" s="7" t="s">
        <v>1119</v>
      </c>
      <c r="C95" s="69">
        <f t="shared" ref="C95:H95" si="11">C92/1.15+C93/1.09+C94</f>
        <v>2.72930195452732</v>
      </c>
      <c r="D95" s="69">
        <f t="shared" si="11"/>
        <v>24.6532110091743</v>
      </c>
      <c r="E95" s="69">
        <f t="shared" si="11"/>
        <v>1.77550857598724</v>
      </c>
      <c r="F95" s="69">
        <f t="shared" si="11"/>
        <v>0.474830474670921</v>
      </c>
      <c r="G95" s="69">
        <f t="shared" si="11"/>
        <v>32.3898005584364</v>
      </c>
      <c r="H95" s="69">
        <f t="shared" si="11"/>
        <v>1.05024331870762</v>
      </c>
    </row>
    <row r="96" ht="15.6" customHeight="1" spans="1:8">
      <c r="A96" s="123" t="s">
        <v>1499</v>
      </c>
      <c r="B96" s="7" t="s">
        <v>1500</v>
      </c>
      <c r="C96" s="7">
        <v>1</v>
      </c>
      <c r="D96" s="7">
        <v>2.4</v>
      </c>
      <c r="E96" s="7"/>
      <c r="F96" s="7"/>
      <c r="G96" s="7">
        <v>2.4</v>
      </c>
      <c r="H96" s="7">
        <v>0.7</v>
      </c>
    </row>
    <row r="97" ht="15.6" customHeight="1" spans="1:8">
      <c r="A97" s="123"/>
      <c r="B97" s="7" t="s">
        <v>1502</v>
      </c>
      <c r="C97" s="7"/>
      <c r="D97" s="7"/>
      <c r="E97" s="7"/>
      <c r="F97" s="7"/>
      <c r="G97" s="7"/>
      <c r="H97" s="7"/>
    </row>
    <row r="98" ht="15.6" customHeight="1" spans="1:8">
      <c r="A98" s="123"/>
      <c r="B98" s="7" t="s">
        <v>1504</v>
      </c>
      <c r="C98" s="7">
        <v>1.7</v>
      </c>
      <c r="D98" s="7">
        <v>6.5</v>
      </c>
      <c r="E98" s="7"/>
      <c r="F98" s="7"/>
      <c r="G98" s="7"/>
      <c r="H98" s="7"/>
    </row>
    <row r="99" ht="15.6" customHeight="1" spans="1:8">
      <c r="A99" s="123"/>
      <c r="B99" s="7" t="s">
        <v>1523</v>
      </c>
      <c r="C99" s="7"/>
      <c r="D99" s="7"/>
      <c r="E99" s="7">
        <v>4</v>
      </c>
      <c r="F99" s="7"/>
      <c r="G99" s="7">
        <v>21.1</v>
      </c>
      <c r="H99" s="7">
        <v>5.7</v>
      </c>
    </row>
    <row r="100" ht="15.6" customHeight="1" spans="1:8">
      <c r="A100" s="123"/>
      <c r="B100" s="7" t="s">
        <v>1524</v>
      </c>
      <c r="C100" s="7"/>
      <c r="D100" s="7"/>
      <c r="E100" s="7"/>
      <c r="F100" s="7"/>
      <c r="G100" s="7"/>
      <c r="H100" s="7"/>
    </row>
    <row r="101" ht="15.6" customHeight="1" spans="1:8">
      <c r="A101" s="123"/>
      <c r="B101" s="7" t="s">
        <v>913</v>
      </c>
      <c r="C101" s="7"/>
      <c r="D101" s="7"/>
      <c r="E101" s="7"/>
      <c r="F101" s="7"/>
      <c r="G101" s="7"/>
      <c r="H101" s="7"/>
    </row>
    <row r="102" ht="15.6" customHeight="1" spans="1:8">
      <c r="A102" s="123"/>
      <c r="B102" s="7" t="s">
        <v>1510</v>
      </c>
      <c r="C102" s="7"/>
      <c r="D102" s="7"/>
      <c r="E102" s="7"/>
      <c r="F102" s="7"/>
      <c r="G102" s="7"/>
      <c r="H102" s="7"/>
    </row>
    <row r="103" ht="15.6" customHeight="1" spans="1:8">
      <c r="A103" s="123"/>
      <c r="B103" s="7" t="s">
        <v>1161</v>
      </c>
      <c r="C103" s="7"/>
      <c r="D103" s="7"/>
      <c r="E103" s="7"/>
      <c r="F103" s="7"/>
      <c r="G103" s="7"/>
      <c r="H103" s="7"/>
    </row>
    <row r="104" ht="15.6" customHeight="1" spans="1:8">
      <c r="A104" s="123"/>
      <c r="B104" s="7" t="s">
        <v>1119</v>
      </c>
      <c r="C104" s="69">
        <f t="shared" ref="C104:H104" si="12">C96*$J$12+C97*$J$13+C98*$J$14+C99*$J$15+C100*$J$16+C101*$J$17+C102*$J$18+C103*$J$19</f>
        <v>13.183</v>
      </c>
      <c r="D104" s="69">
        <f t="shared" si="12"/>
        <v>38.875</v>
      </c>
      <c r="E104" s="69">
        <f t="shared" si="12"/>
        <v>2.12</v>
      </c>
      <c r="F104" s="69">
        <f t="shared" si="12"/>
        <v>0</v>
      </c>
      <c r="G104" s="69">
        <f t="shared" si="12"/>
        <v>30.623</v>
      </c>
      <c r="H104" s="69">
        <f t="shared" si="12"/>
        <v>8.691</v>
      </c>
    </row>
    <row r="105" ht="15.6" customHeight="1" spans="1:8">
      <c r="A105" s="146" t="s">
        <v>1511</v>
      </c>
      <c r="B105" s="147"/>
      <c r="C105" s="69">
        <f t="shared" ref="C105:H105" si="13">C95+C104</f>
        <v>15.9123019545273</v>
      </c>
      <c r="D105" s="69">
        <f t="shared" si="13"/>
        <v>63.5282110091743</v>
      </c>
      <c r="E105" s="69">
        <f t="shared" si="13"/>
        <v>3.89550857598724</v>
      </c>
      <c r="F105" s="69">
        <f t="shared" si="13"/>
        <v>0.474830474670921</v>
      </c>
      <c r="G105" s="69">
        <f t="shared" si="13"/>
        <v>63.0128005584364</v>
      </c>
      <c r="H105" s="69">
        <f t="shared" si="13"/>
        <v>9.74124331870762</v>
      </c>
    </row>
    <row r="106" ht="15.6" customHeight="1" spans="1:8">
      <c r="A106" s="111" t="s">
        <v>1483</v>
      </c>
      <c r="B106" s="111"/>
      <c r="C106" s="111"/>
      <c r="D106" s="111"/>
      <c r="E106" s="111"/>
      <c r="F106" s="111"/>
      <c r="G106" s="111"/>
      <c r="H106" s="111"/>
    </row>
    <row r="107" ht="15.6" customHeight="1" spans="1:8">
      <c r="A107" s="111"/>
      <c r="B107" s="111"/>
      <c r="C107" s="111"/>
      <c r="D107" s="111"/>
      <c r="E107" s="111"/>
      <c r="F107" s="111"/>
      <c r="G107" s="111"/>
      <c r="H107" s="111"/>
    </row>
    <row r="108" ht="15.6" customHeight="1" spans="1:8">
      <c r="A108" s="111"/>
      <c r="B108" s="111"/>
      <c r="C108" s="111"/>
      <c r="D108" s="111"/>
      <c r="E108" s="111"/>
      <c r="F108" s="111"/>
      <c r="G108" s="111"/>
      <c r="H108" s="111"/>
    </row>
    <row r="109" ht="15.6" customHeight="1" spans="1:8">
      <c r="A109" s="7" t="s">
        <v>1</v>
      </c>
      <c r="B109" s="7"/>
      <c r="C109" s="7">
        <v>31</v>
      </c>
      <c r="D109" s="7">
        <v>32</v>
      </c>
      <c r="E109" s="7">
        <v>33</v>
      </c>
      <c r="F109" s="7">
        <v>34</v>
      </c>
      <c r="G109" s="7">
        <v>35</v>
      </c>
      <c r="H109" s="7">
        <v>36</v>
      </c>
    </row>
    <row r="110" ht="15.6" customHeight="1" spans="1:8">
      <c r="A110" s="7" t="s">
        <v>1485</v>
      </c>
      <c r="B110" s="7"/>
      <c r="C110" s="7" t="s">
        <v>1551</v>
      </c>
      <c r="D110" s="7" t="s">
        <v>1552</v>
      </c>
      <c r="E110" s="7" t="s">
        <v>1553</v>
      </c>
      <c r="F110" s="7" t="s">
        <v>1554</v>
      </c>
      <c r="G110" s="7" t="s">
        <v>1555</v>
      </c>
      <c r="H110" s="7" t="s">
        <v>1556</v>
      </c>
    </row>
    <row r="111" ht="15.6" customHeight="1" spans="1:8">
      <c r="A111" s="7" t="s">
        <v>1517</v>
      </c>
      <c r="B111" s="7"/>
      <c r="C111" s="9" t="s">
        <v>1557</v>
      </c>
      <c r="D111" s="7" t="s">
        <v>1558</v>
      </c>
      <c r="E111" s="7"/>
      <c r="F111" s="7" t="s">
        <v>1559</v>
      </c>
      <c r="G111" s="9" t="s">
        <v>1560</v>
      </c>
      <c r="H111" s="9"/>
    </row>
    <row r="112" ht="15.6" customHeight="1" spans="1:8">
      <c r="A112" s="7" t="s">
        <v>1494</v>
      </c>
      <c r="B112" s="7"/>
      <c r="C112" s="7">
        <v>1028</v>
      </c>
      <c r="D112" s="7">
        <v>1035</v>
      </c>
      <c r="E112" s="7">
        <v>5009</v>
      </c>
      <c r="F112" s="7">
        <v>5011</v>
      </c>
      <c r="G112" s="7">
        <v>8054</v>
      </c>
      <c r="H112" s="7">
        <v>9204</v>
      </c>
    </row>
    <row r="113" ht="15.6" customHeight="1" spans="1:8">
      <c r="A113" s="123" t="s">
        <v>1522</v>
      </c>
      <c r="B113" s="11" t="s">
        <v>1496</v>
      </c>
      <c r="C113" s="7">
        <v>17.23</v>
      </c>
      <c r="D113" s="7">
        <v>0.54</v>
      </c>
      <c r="E113" s="7">
        <v>0.83</v>
      </c>
      <c r="F113" s="7">
        <v>2.76</v>
      </c>
      <c r="G113" s="7">
        <v>5.07</v>
      </c>
      <c r="H113" s="9">
        <v>1.01</v>
      </c>
    </row>
    <row r="114" ht="15.6" customHeight="1" spans="1:8">
      <c r="A114" s="123"/>
      <c r="B114" s="11" t="s">
        <v>1497</v>
      </c>
      <c r="C114" s="7">
        <v>7.1</v>
      </c>
      <c r="D114" s="7">
        <v>1.89</v>
      </c>
      <c r="E114" s="7">
        <v>2.28</v>
      </c>
      <c r="F114" s="7">
        <v>7.76</v>
      </c>
      <c r="G114" s="7">
        <v>4.77</v>
      </c>
      <c r="H114" s="9">
        <v>1.1</v>
      </c>
    </row>
    <row r="115" ht="15.6" customHeight="1" spans="1:8">
      <c r="A115" s="123"/>
      <c r="B115" s="11" t="s">
        <v>1498</v>
      </c>
      <c r="C115" s="7"/>
      <c r="D115" s="7"/>
      <c r="E115" s="7">
        <v>0.2</v>
      </c>
      <c r="F115" s="7">
        <v>0.64</v>
      </c>
      <c r="G115" s="7">
        <v>0.04</v>
      </c>
      <c r="H115" s="7">
        <v>0.15</v>
      </c>
    </row>
    <row r="116" ht="15.6" customHeight="1" spans="1:8">
      <c r="A116" s="123"/>
      <c r="B116" s="7" t="s">
        <v>1119</v>
      </c>
      <c r="C116" s="69">
        <f t="shared" ref="C116:H116" si="14">C113/1.15+C114/1.09+C115</f>
        <v>21.4963701635421</v>
      </c>
      <c r="D116" s="69">
        <f t="shared" si="14"/>
        <v>2.20351017151974</v>
      </c>
      <c r="E116" s="69">
        <f t="shared" si="14"/>
        <v>3.01348224970084</v>
      </c>
      <c r="F116" s="69">
        <f t="shared" si="14"/>
        <v>10.1592660550459</v>
      </c>
      <c r="G116" s="69">
        <f t="shared" si="14"/>
        <v>8.82484244116474</v>
      </c>
      <c r="H116" s="69">
        <f t="shared" si="14"/>
        <v>2.03743518149182</v>
      </c>
    </row>
    <row r="117" ht="15.6" customHeight="1" spans="1:8">
      <c r="A117" s="123" t="s">
        <v>1499</v>
      </c>
      <c r="B117" s="7" t="s">
        <v>1500</v>
      </c>
      <c r="C117" s="7"/>
      <c r="D117" s="7"/>
      <c r="E117" s="7">
        <v>1.3</v>
      </c>
      <c r="F117" s="7">
        <v>2.4</v>
      </c>
      <c r="G117" s="7">
        <v>1.3</v>
      </c>
      <c r="H117" s="9">
        <v>1.3</v>
      </c>
    </row>
    <row r="118" ht="15.6" customHeight="1" spans="1:8">
      <c r="A118" s="123"/>
      <c r="B118" s="7" t="s">
        <v>1502</v>
      </c>
      <c r="C118" s="7"/>
      <c r="D118" s="7"/>
      <c r="E118" s="7"/>
      <c r="F118" s="7"/>
      <c r="G118" s="7"/>
      <c r="H118" s="7"/>
    </row>
    <row r="119" ht="15.6" customHeight="1" spans="1:8">
      <c r="A119" s="123"/>
      <c r="B119" s="7" t="s">
        <v>1504</v>
      </c>
      <c r="C119" s="7">
        <v>9.5</v>
      </c>
      <c r="D119" s="7"/>
      <c r="E119" s="7"/>
      <c r="F119" s="7"/>
      <c r="G119" s="7"/>
      <c r="H119" s="7"/>
    </row>
    <row r="120" ht="15.6" customHeight="1" spans="1:8">
      <c r="A120" s="123"/>
      <c r="B120" s="7" t="s">
        <v>1523</v>
      </c>
      <c r="C120" s="7"/>
      <c r="D120" s="7"/>
      <c r="E120" s="7">
        <v>6.3</v>
      </c>
      <c r="F120" s="7">
        <v>10.1</v>
      </c>
      <c r="G120" s="7">
        <v>4</v>
      </c>
      <c r="H120" s="7">
        <v>9</v>
      </c>
    </row>
    <row r="121" ht="15.6" customHeight="1" spans="1:8">
      <c r="A121" s="123"/>
      <c r="B121" s="7" t="s">
        <v>1524</v>
      </c>
      <c r="C121" s="7"/>
      <c r="D121" s="7">
        <v>180.1</v>
      </c>
      <c r="E121" s="7"/>
      <c r="F121" s="7"/>
      <c r="G121" s="7"/>
      <c r="H121" s="7"/>
    </row>
    <row r="122" ht="15.6" customHeight="1" spans="1:8">
      <c r="A122" s="123"/>
      <c r="B122" s="7" t="s">
        <v>913</v>
      </c>
      <c r="C122" s="7"/>
      <c r="D122" s="7">
        <v>0.3</v>
      </c>
      <c r="E122" s="7"/>
      <c r="F122" s="7"/>
      <c r="G122" s="7"/>
      <c r="H122" s="7"/>
    </row>
    <row r="123" ht="15.6" customHeight="1" spans="1:8">
      <c r="A123" s="123"/>
      <c r="B123" s="7" t="s">
        <v>1510</v>
      </c>
      <c r="C123" s="7"/>
      <c r="D123" s="7"/>
      <c r="E123" s="7"/>
      <c r="F123" s="7"/>
      <c r="G123" s="7"/>
      <c r="H123" s="7"/>
    </row>
    <row r="124" ht="15.6" customHeight="1" spans="1:8">
      <c r="A124" s="123"/>
      <c r="B124" s="7" t="s">
        <v>1161</v>
      </c>
      <c r="C124" s="7"/>
      <c r="D124" s="7"/>
      <c r="E124" s="7"/>
      <c r="F124" s="69"/>
      <c r="G124" s="7"/>
      <c r="H124" s="7"/>
    </row>
    <row r="125" ht="15.6" customHeight="1" spans="1:8">
      <c r="A125" s="123"/>
      <c r="B125" s="7" t="s">
        <v>1119</v>
      </c>
      <c r="C125" s="69">
        <f t="shared" ref="C125:H125" si="15">C117*$J$12+C118*$J$13+C119*$J$14+C120*$J$15+C121*$J$16+C122*$J$17+C123*$J$18+C124*$J$19</f>
        <v>28.405</v>
      </c>
      <c r="D125" s="69">
        <f t="shared" si="15"/>
        <v>20.888</v>
      </c>
      <c r="E125" s="69">
        <f t="shared" si="15"/>
        <v>13.869</v>
      </c>
      <c r="F125" s="69">
        <f t="shared" si="15"/>
        <v>24.793</v>
      </c>
      <c r="G125" s="69">
        <f t="shared" si="15"/>
        <v>12.65</v>
      </c>
      <c r="H125" s="69">
        <f t="shared" si="15"/>
        <v>15.3</v>
      </c>
    </row>
    <row r="126" ht="15.6" customHeight="1" spans="1:8">
      <c r="A126" s="146" t="s">
        <v>1511</v>
      </c>
      <c r="B126" s="147"/>
      <c r="C126" s="34">
        <f t="shared" ref="C126:H126" si="16">C116+C125</f>
        <v>49.9013701635421</v>
      </c>
      <c r="D126" s="34">
        <f t="shared" si="16"/>
        <v>23.0915101715197</v>
      </c>
      <c r="E126" s="34">
        <f t="shared" si="16"/>
        <v>16.8824822497008</v>
      </c>
      <c r="F126" s="34">
        <f t="shared" si="16"/>
        <v>34.9522660550459</v>
      </c>
      <c r="G126" s="34">
        <f t="shared" si="16"/>
        <v>21.4748424411647</v>
      </c>
      <c r="H126" s="34">
        <f t="shared" si="16"/>
        <v>17.3374351814918</v>
      </c>
    </row>
    <row r="127" ht="15.6" customHeight="1" spans="1:8">
      <c r="A127" s="111" t="s">
        <v>1483</v>
      </c>
      <c r="B127" s="111"/>
      <c r="C127" s="111"/>
      <c r="D127" s="111"/>
      <c r="E127" s="111"/>
      <c r="F127" s="111"/>
      <c r="G127" s="111"/>
      <c r="H127" s="111"/>
    </row>
    <row r="128" ht="15.6" customHeight="1" spans="1:8">
      <c r="A128" s="111"/>
      <c r="B128" s="111"/>
      <c r="C128" s="111"/>
      <c r="D128" s="111"/>
      <c r="E128" s="111"/>
      <c r="F128" s="111"/>
      <c r="G128" s="111"/>
      <c r="H128" s="111"/>
    </row>
    <row r="129" ht="15.6" customHeight="1" spans="1:8">
      <c r="A129" s="111"/>
      <c r="B129" s="111"/>
      <c r="C129" s="111"/>
      <c r="D129" s="111"/>
      <c r="E129" s="111"/>
      <c r="F129" s="111"/>
      <c r="G129" s="111"/>
      <c r="H129" s="111"/>
    </row>
    <row r="130" ht="15.6" customHeight="1" spans="1:8">
      <c r="A130" s="7" t="s">
        <v>1</v>
      </c>
      <c r="B130" s="7"/>
      <c r="C130" s="7">
        <v>37</v>
      </c>
      <c r="D130" s="7">
        <v>38</v>
      </c>
      <c r="E130" s="7">
        <v>39</v>
      </c>
      <c r="F130" s="7">
        <v>40</v>
      </c>
      <c r="G130" s="7">
        <v>41</v>
      </c>
      <c r="H130" s="7">
        <v>42</v>
      </c>
    </row>
    <row r="131" ht="15.6" customHeight="1" spans="1:8">
      <c r="A131" s="7" t="s">
        <v>1485</v>
      </c>
      <c r="B131" s="7"/>
      <c r="C131" s="7" t="s">
        <v>1561</v>
      </c>
      <c r="D131" s="7" t="s">
        <v>1562</v>
      </c>
      <c r="E131" s="34" t="s">
        <v>1563</v>
      </c>
      <c r="F131" s="7" t="s">
        <v>1564</v>
      </c>
      <c r="G131" s="7" t="s">
        <v>1515</v>
      </c>
      <c r="H131" s="7" t="s">
        <v>1534</v>
      </c>
    </row>
    <row r="132" ht="15.6" customHeight="1" spans="1:8">
      <c r="A132" s="7" t="s">
        <v>1517</v>
      </c>
      <c r="B132" s="7"/>
      <c r="C132" s="9"/>
      <c r="D132" s="9" t="s">
        <v>1565</v>
      </c>
      <c r="E132" s="7"/>
      <c r="F132" s="9" t="s">
        <v>1566</v>
      </c>
      <c r="G132" s="7" t="s">
        <v>1567</v>
      </c>
      <c r="H132" s="9" t="s">
        <v>1568</v>
      </c>
    </row>
    <row r="133" ht="15.6" customHeight="1" spans="1:8">
      <c r="A133" s="7" t="s">
        <v>1494</v>
      </c>
      <c r="B133" s="7"/>
      <c r="C133" s="7">
        <v>8051</v>
      </c>
      <c r="D133" s="7">
        <v>9148</v>
      </c>
      <c r="E133" s="7">
        <v>9202</v>
      </c>
      <c r="F133" s="7">
        <v>5005</v>
      </c>
      <c r="G133" s="7">
        <v>2052</v>
      </c>
      <c r="H133" s="7">
        <v>8008</v>
      </c>
    </row>
    <row r="134" ht="15.6" customHeight="1" spans="1:8">
      <c r="A134" s="123" t="s">
        <v>1522</v>
      </c>
      <c r="B134" s="11" t="s">
        <v>1496</v>
      </c>
      <c r="C134" s="7">
        <v>3.24</v>
      </c>
      <c r="D134" s="7">
        <v>8.65</v>
      </c>
      <c r="E134" s="7">
        <v>0.4</v>
      </c>
      <c r="F134" s="7">
        <v>16.5</v>
      </c>
      <c r="G134" s="7">
        <v>3.48</v>
      </c>
      <c r="H134" s="7">
        <v>1.08</v>
      </c>
    </row>
    <row r="135" ht="15.6" customHeight="1" spans="1:8">
      <c r="A135" s="123"/>
      <c r="B135" s="11" t="s">
        <v>1497</v>
      </c>
      <c r="C135" s="7">
        <v>2.58</v>
      </c>
      <c r="D135" s="7">
        <v>4.89</v>
      </c>
      <c r="E135" s="7">
        <v>1.17</v>
      </c>
      <c r="F135" s="7">
        <v>23.42</v>
      </c>
      <c r="G135" s="7">
        <v>7.96</v>
      </c>
      <c r="H135" s="7">
        <v>4.36</v>
      </c>
    </row>
    <row r="136" ht="15.6" customHeight="1" spans="1:8">
      <c r="A136" s="123"/>
      <c r="B136" s="11" t="s">
        <v>1498</v>
      </c>
      <c r="C136" s="7">
        <v>0.1</v>
      </c>
      <c r="D136" s="7">
        <v>1.33</v>
      </c>
      <c r="E136" s="7">
        <v>0.05</v>
      </c>
      <c r="F136" s="7">
        <v>6.19</v>
      </c>
      <c r="G136" s="7"/>
      <c r="H136" s="7">
        <v>1.24</v>
      </c>
    </row>
    <row r="137" ht="15.6" customHeight="1" spans="1:8">
      <c r="A137" s="123"/>
      <c r="B137" s="7" t="s">
        <v>1119</v>
      </c>
      <c r="C137" s="69">
        <f t="shared" ref="C137:H137" si="17">C134/1.15+C135/1.09+C136</f>
        <v>5.28436378141205</v>
      </c>
      <c r="D137" s="69">
        <f t="shared" si="17"/>
        <v>13.3379776625449</v>
      </c>
      <c r="E137" s="69">
        <f t="shared" si="17"/>
        <v>1.47122058236937</v>
      </c>
      <c r="F137" s="69">
        <f t="shared" si="17"/>
        <v>42.0240646190666</v>
      </c>
      <c r="G137" s="69">
        <f t="shared" si="17"/>
        <v>10.3288392500997</v>
      </c>
      <c r="H137" s="69">
        <f t="shared" si="17"/>
        <v>6.17913043478261</v>
      </c>
    </row>
    <row r="138" ht="15.6" customHeight="1" spans="1:8">
      <c r="A138" s="123" t="s">
        <v>1499</v>
      </c>
      <c r="B138" s="7" t="s">
        <v>1500</v>
      </c>
      <c r="C138" s="7">
        <v>2.4</v>
      </c>
      <c r="D138" s="7">
        <v>1.3</v>
      </c>
      <c r="E138" s="7">
        <v>2.4</v>
      </c>
      <c r="F138" s="7">
        <v>2.9</v>
      </c>
      <c r="G138" s="7"/>
      <c r="H138" s="7">
        <v>1.3</v>
      </c>
    </row>
    <row r="139" ht="15.6" customHeight="1" spans="1:8">
      <c r="A139" s="123"/>
      <c r="B139" s="7" t="s">
        <v>1502</v>
      </c>
      <c r="C139" s="7"/>
      <c r="D139" s="7"/>
      <c r="E139" s="7"/>
      <c r="F139" s="7"/>
      <c r="G139" s="7"/>
      <c r="H139" s="7"/>
    </row>
    <row r="140" ht="15.6" customHeight="1" spans="1:8">
      <c r="A140" s="123"/>
      <c r="B140" s="7" t="s">
        <v>1504</v>
      </c>
      <c r="C140" s="7"/>
      <c r="D140" s="7"/>
      <c r="E140" s="7"/>
      <c r="F140" s="7"/>
      <c r="G140" s="7"/>
      <c r="H140" s="7"/>
    </row>
    <row r="141" ht="15.6" customHeight="1" spans="1:8">
      <c r="A141" s="123"/>
      <c r="B141" s="7" t="s">
        <v>1523</v>
      </c>
      <c r="C141" s="7">
        <v>8</v>
      </c>
      <c r="D141" s="7">
        <v>10.1</v>
      </c>
      <c r="E141" s="7">
        <v>7.1</v>
      </c>
      <c r="F141" s="7">
        <v>19.6</v>
      </c>
      <c r="G141" s="7">
        <v>6.4</v>
      </c>
      <c r="H141" s="7">
        <v>50.2</v>
      </c>
    </row>
    <row r="142" ht="15.6" customHeight="1" spans="1:8">
      <c r="A142" s="123"/>
      <c r="B142" s="7" t="s">
        <v>1524</v>
      </c>
      <c r="C142" s="7"/>
      <c r="D142" s="7"/>
      <c r="E142" s="7"/>
      <c r="F142" s="7"/>
      <c r="G142" s="7"/>
      <c r="H142" s="7"/>
    </row>
    <row r="143" ht="15.6" customHeight="1" spans="1:8">
      <c r="A143" s="123"/>
      <c r="B143" s="7" t="s">
        <v>913</v>
      </c>
      <c r="C143" s="7"/>
      <c r="D143" s="7"/>
      <c r="E143" s="7"/>
      <c r="F143" s="7"/>
      <c r="G143" s="7"/>
      <c r="H143" s="7"/>
    </row>
    <row r="144" ht="15.6" customHeight="1" spans="1:8">
      <c r="A144" s="123"/>
      <c r="B144" s="7" t="s">
        <v>1510</v>
      </c>
      <c r="C144" s="7"/>
      <c r="D144" s="7"/>
      <c r="E144" s="7"/>
      <c r="F144" s="7"/>
      <c r="G144" s="7"/>
      <c r="H144" s="7"/>
    </row>
    <row r="145" ht="15.6" customHeight="1" spans="1:8">
      <c r="A145" s="123"/>
      <c r="B145" s="7" t="s">
        <v>1161</v>
      </c>
      <c r="C145" s="7"/>
      <c r="D145" s="7"/>
      <c r="E145" s="7"/>
      <c r="F145" s="7"/>
      <c r="G145" s="7"/>
      <c r="H145" s="7"/>
    </row>
    <row r="146" ht="15.6" customHeight="1" spans="1:8">
      <c r="A146" s="123"/>
      <c r="B146" s="7" t="s">
        <v>1119</v>
      </c>
      <c r="C146" s="69">
        <f t="shared" ref="C146:H146" si="18">C138*$J$12+C139*$J$13+C140*$J$14+C141*$J$15+C142*$J$16+C143*$J$17+C144*$J$18+C145*$J$19</f>
        <v>23.68</v>
      </c>
      <c r="D146" s="69">
        <f t="shared" si="18"/>
        <v>15.883</v>
      </c>
      <c r="E146" s="69">
        <f t="shared" si="18"/>
        <v>23.203</v>
      </c>
      <c r="F146" s="69">
        <f t="shared" si="18"/>
        <v>33.878</v>
      </c>
      <c r="G146" s="69">
        <f t="shared" si="18"/>
        <v>3.392</v>
      </c>
      <c r="H146" s="69">
        <f t="shared" si="18"/>
        <v>37.136</v>
      </c>
    </row>
    <row r="147" ht="15.6" customHeight="1" spans="1:8">
      <c r="A147" s="146" t="s">
        <v>1511</v>
      </c>
      <c r="B147" s="147"/>
      <c r="C147" s="34">
        <f t="shared" ref="C147:H147" si="19">C137+C146</f>
        <v>28.964363781412</v>
      </c>
      <c r="D147" s="34">
        <f t="shared" si="19"/>
        <v>29.2209776625449</v>
      </c>
      <c r="E147" s="34">
        <f t="shared" si="19"/>
        <v>24.6742205823694</v>
      </c>
      <c r="F147" s="34">
        <f t="shared" si="19"/>
        <v>75.9020646190666</v>
      </c>
      <c r="G147" s="34">
        <f t="shared" si="19"/>
        <v>13.7208392500997</v>
      </c>
      <c r="H147" s="34">
        <f t="shared" si="19"/>
        <v>43.3151304347826</v>
      </c>
    </row>
    <row r="148" ht="15.6" customHeight="1" spans="1:8">
      <c r="A148" s="111" t="s">
        <v>1483</v>
      </c>
      <c r="B148" s="111"/>
      <c r="C148" s="111"/>
      <c r="D148" s="111"/>
      <c r="E148" s="111"/>
      <c r="F148" s="111"/>
      <c r="G148" s="111"/>
      <c r="H148" s="111"/>
    </row>
    <row r="149" ht="15.6" customHeight="1" spans="1:8">
      <c r="A149" s="111"/>
      <c r="B149" s="111"/>
      <c r="C149" s="111"/>
      <c r="D149" s="111"/>
      <c r="E149" s="111"/>
      <c r="F149" s="111"/>
      <c r="G149" s="111"/>
      <c r="H149" s="111"/>
    </row>
    <row r="150" ht="15.6" customHeight="1" spans="1:8">
      <c r="A150" s="111"/>
      <c r="B150" s="111"/>
      <c r="C150" s="111"/>
      <c r="D150" s="111"/>
      <c r="E150" s="111"/>
      <c r="F150" s="111"/>
      <c r="G150" s="111"/>
      <c r="H150" s="111"/>
    </row>
    <row r="151" ht="15.6" customHeight="1" spans="1:8">
      <c r="A151" s="7" t="s">
        <v>1</v>
      </c>
      <c r="B151" s="7"/>
      <c r="C151" s="7">
        <v>43</v>
      </c>
      <c r="D151" s="7">
        <v>44</v>
      </c>
      <c r="E151" s="7">
        <v>45</v>
      </c>
      <c r="F151" s="7">
        <v>46</v>
      </c>
      <c r="G151" s="7">
        <v>47</v>
      </c>
      <c r="H151" s="7">
        <v>48</v>
      </c>
    </row>
    <row r="152" ht="15.6" customHeight="1" spans="1:8">
      <c r="A152" s="7" t="s">
        <v>1485</v>
      </c>
      <c r="B152" s="7"/>
      <c r="C152" s="7" t="s">
        <v>917</v>
      </c>
      <c r="D152" s="7" t="s">
        <v>1534</v>
      </c>
      <c r="E152" s="7" t="s">
        <v>1569</v>
      </c>
      <c r="F152" s="7" t="s">
        <v>1570</v>
      </c>
      <c r="G152" s="7" t="s">
        <v>1571</v>
      </c>
      <c r="H152" s="7" t="s">
        <v>1572</v>
      </c>
    </row>
    <row r="153" ht="15.6" customHeight="1" spans="1:8">
      <c r="A153" s="7" t="s">
        <v>1517</v>
      </c>
      <c r="B153" s="7"/>
      <c r="C153" s="9"/>
      <c r="D153" s="9" t="s">
        <v>1573</v>
      </c>
      <c r="E153" s="9" t="s">
        <v>1574</v>
      </c>
      <c r="F153" s="7"/>
      <c r="G153" s="9" t="s">
        <v>1575</v>
      </c>
      <c r="H153" s="9" t="s">
        <v>1576</v>
      </c>
    </row>
    <row r="154" ht="15.6" customHeight="1" spans="1:8">
      <c r="A154" s="7" t="s">
        <v>1494</v>
      </c>
      <c r="B154" s="7"/>
      <c r="C154" s="7">
        <v>1094</v>
      </c>
      <c r="D154" s="7">
        <v>8004</v>
      </c>
      <c r="E154" s="7">
        <v>8042</v>
      </c>
      <c r="F154" s="7">
        <v>8044</v>
      </c>
      <c r="G154" s="7">
        <v>8047</v>
      </c>
      <c r="H154" s="7">
        <v>8048</v>
      </c>
    </row>
    <row r="155" ht="15.6" customHeight="1" spans="1:8">
      <c r="A155" s="123" t="s">
        <v>1522</v>
      </c>
      <c r="B155" s="11" t="s">
        <v>1496</v>
      </c>
      <c r="C155" s="7">
        <v>5.07</v>
      </c>
      <c r="D155" s="7">
        <v>0.19</v>
      </c>
      <c r="E155" s="7">
        <v>1.69</v>
      </c>
      <c r="F155" s="7">
        <v>0.53</v>
      </c>
      <c r="G155" s="7">
        <v>1.18</v>
      </c>
      <c r="H155" s="7">
        <v>1.6</v>
      </c>
    </row>
    <row r="156" ht="15.6" customHeight="1" spans="1:8">
      <c r="A156" s="123"/>
      <c r="B156" s="11" t="s">
        <v>1497</v>
      </c>
      <c r="C156" s="7">
        <v>5.62</v>
      </c>
      <c r="D156" s="7">
        <v>1.08</v>
      </c>
      <c r="E156" s="7">
        <v>2.56</v>
      </c>
      <c r="F156" s="7">
        <v>1.45</v>
      </c>
      <c r="G156" s="7">
        <v>1.71</v>
      </c>
      <c r="H156" s="7">
        <v>2.69</v>
      </c>
    </row>
    <row r="157" ht="15.6" customHeight="1" spans="1:8">
      <c r="A157" s="123"/>
      <c r="B157" s="11" t="s">
        <v>1498</v>
      </c>
      <c r="C157" s="7">
        <v>0.22</v>
      </c>
      <c r="D157" s="7">
        <v>0.32</v>
      </c>
      <c r="E157" s="7">
        <v>0.76</v>
      </c>
      <c r="F157" s="7">
        <v>0.24</v>
      </c>
      <c r="G157" s="7">
        <v>0.28</v>
      </c>
      <c r="H157" s="7">
        <v>0.44</v>
      </c>
    </row>
    <row r="158" ht="15.6" customHeight="1" spans="1:8">
      <c r="A158" s="123"/>
      <c r="B158" s="7" t="s">
        <v>1119</v>
      </c>
      <c r="C158" s="69">
        <f t="shared" ref="C158:H158" si="20">C155/1.15+C156/1.09+C157</f>
        <v>9.78465895492621</v>
      </c>
      <c r="D158" s="69">
        <f t="shared" si="20"/>
        <v>1.47604307937774</v>
      </c>
      <c r="E158" s="69">
        <f t="shared" si="20"/>
        <v>4.57818907060231</v>
      </c>
      <c r="F158" s="69">
        <f t="shared" si="20"/>
        <v>2.03114479457519</v>
      </c>
      <c r="G158" s="69">
        <f t="shared" si="20"/>
        <v>2.87489429597128</v>
      </c>
      <c r="H158" s="69">
        <f t="shared" si="20"/>
        <v>4.29919425608297</v>
      </c>
    </row>
    <row r="159" ht="15.6" customHeight="1" spans="1:8">
      <c r="A159" s="123" t="s">
        <v>1499</v>
      </c>
      <c r="B159" s="7" t="s">
        <v>1500</v>
      </c>
      <c r="C159" s="7">
        <v>2.4</v>
      </c>
      <c r="D159" s="7">
        <v>1.3</v>
      </c>
      <c r="E159" s="7">
        <v>1.3</v>
      </c>
      <c r="F159" s="7">
        <v>1.3</v>
      </c>
      <c r="G159" s="7">
        <v>1.3</v>
      </c>
      <c r="H159" s="7">
        <v>1.3</v>
      </c>
    </row>
    <row r="160" ht="15.6" customHeight="1" spans="1:8">
      <c r="A160" s="123"/>
      <c r="B160" s="7" t="s">
        <v>1502</v>
      </c>
      <c r="C160" s="7"/>
      <c r="D160" s="7"/>
      <c r="E160" s="7"/>
      <c r="F160" s="7"/>
      <c r="G160" s="7"/>
      <c r="H160" s="7"/>
    </row>
    <row r="161" ht="15.6" customHeight="1" spans="1:8">
      <c r="A161" s="123"/>
      <c r="B161" s="7" t="s">
        <v>1504</v>
      </c>
      <c r="C161" s="7">
        <v>7.4</v>
      </c>
      <c r="D161" s="7"/>
      <c r="E161" s="7"/>
      <c r="F161" s="7"/>
      <c r="G161" s="7"/>
      <c r="H161" s="7"/>
    </row>
    <row r="162" ht="15.6" customHeight="1" spans="1:8">
      <c r="A162" s="123"/>
      <c r="B162" s="7" t="s">
        <v>1523</v>
      </c>
      <c r="C162" s="7"/>
      <c r="D162" s="7">
        <v>9.1</v>
      </c>
      <c r="E162" s="7">
        <v>80.1</v>
      </c>
      <c r="F162" s="7">
        <v>6</v>
      </c>
      <c r="G162" s="7">
        <v>17.2</v>
      </c>
      <c r="H162" s="7">
        <v>7.2</v>
      </c>
    </row>
    <row r="163" ht="15.6" customHeight="1" spans="1:8">
      <c r="A163" s="123"/>
      <c r="B163" s="7" t="s">
        <v>1524</v>
      </c>
      <c r="C163" s="7"/>
      <c r="D163" s="7"/>
      <c r="E163" s="7">
        <v>8.1</v>
      </c>
      <c r="F163" s="7"/>
      <c r="G163" s="7"/>
      <c r="H163" s="7"/>
    </row>
    <row r="164" ht="15.6" customHeight="1" spans="1:8">
      <c r="A164" s="123"/>
      <c r="B164" s="7" t="s">
        <v>913</v>
      </c>
      <c r="C164" s="7"/>
      <c r="D164" s="7"/>
      <c r="E164" s="7">
        <v>3.2</v>
      </c>
      <c r="F164" s="7"/>
      <c r="G164" s="7"/>
      <c r="H164" s="7"/>
    </row>
    <row r="165" ht="15.6" customHeight="1" spans="1:8">
      <c r="A165" s="123"/>
      <c r="B165" s="7" t="s">
        <v>1510</v>
      </c>
      <c r="C165" s="7"/>
      <c r="D165" s="7"/>
      <c r="E165" s="7"/>
      <c r="F165" s="7"/>
      <c r="G165" s="7"/>
      <c r="H165" s="7"/>
    </row>
    <row r="166" ht="15.6" customHeight="1" spans="1:8">
      <c r="A166" s="123"/>
      <c r="B166" s="7" t="s">
        <v>1161</v>
      </c>
      <c r="C166" s="7"/>
      <c r="D166" s="7"/>
      <c r="E166" s="7"/>
      <c r="F166" s="7"/>
      <c r="G166" s="7"/>
      <c r="H166" s="7"/>
    </row>
    <row r="167" ht="15.6" customHeight="1" spans="1:8">
      <c r="A167" s="123"/>
      <c r="B167" s="7" t="s">
        <v>1119</v>
      </c>
      <c r="C167" s="69">
        <f t="shared" ref="C167:H167" si="21">C159*$J$12+C160*$J$13+C161*$J$14+C162*$J$15+C163*$J$16+C164*$J$17+C165*$J$18+C166*$J$19</f>
        <v>41.566</v>
      </c>
      <c r="D167" s="69">
        <f t="shared" si="21"/>
        <v>15.353</v>
      </c>
      <c r="E167" s="69">
        <f t="shared" si="21"/>
        <v>65.362</v>
      </c>
      <c r="F167" s="69">
        <f t="shared" si="21"/>
        <v>13.71</v>
      </c>
      <c r="G167" s="69">
        <f t="shared" si="21"/>
        <v>19.646</v>
      </c>
      <c r="H167" s="69">
        <f t="shared" si="21"/>
        <v>14.346</v>
      </c>
    </row>
    <row r="168" ht="15.6" customHeight="1" spans="1:8">
      <c r="A168" s="146" t="s">
        <v>1511</v>
      </c>
      <c r="B168" s="147"/>
      <c r="C168" s="34">
        <f t="shared" ref="C168:H168" si="22">C158+C167</f>
        <v>51.3506589549262</v>
      </c>
      <c r="D168" s="34">
        <f t="shared" si="22"/>
        <v>16.8290430793777</v>
      </c>
      <c r="E168" s="34">
        <f t="shared" si="22"/>
        <v>69.9401890706023</v>
      </c>
      <c r="F168" s="34">
        <f t="shared" si="22"/>
        <v>15.7411447945752</v>
      </c>
      <c r="G168" s="34">
        <f t="shared" si="22"/>
        <v>22.5208942959713</v>
      </c>
      <c r="H168" s="34">
        <f t="shared" si="22"/>
        <v>18.645194256083</v>
      </c>
    </row>
    <row r="169" ht="15.6" customHeight="1" spans="1:8">
      <c r="A169" s="111" t="s">
        <v>1483</v>
      </c>
      <c r="B169" s="111"/>
      <c r="C169" s="111"/>
      <c r="D169" s="111"/>
      <c r="E169" s="111"/>
      <c r="F169" s="111"/>
      <c r="G169" s="111"/>
      <c r="H169" s="111"/>
    </row>
    <row r="170" ht="15.6" customHeight="1" spans="1:8">
      <c r="A170" s="111"/>
      <c r="B170" s="111"/>
      <c r="C170" s="111"/>
      <c r="D170" s="111"/>
      <c r="E170" s="111"/>
      <c r="F170" s="111"/>
      <c r="G170" s="111"/>
      <c r="H170" s="111"/>
    </row>
    <row r="171" ht="15.6" customHeight="1" spans="1:8">
      <c r="A171" s="111"/>
      <c r="B171" s="111"/>
      <c r="C171" s="111"/>
      <c r="D171" s="111"/>
      <c r="E171" s="111"/>
      <c r="F171" s="111"/>
      <c r="G171" s="111"/>
      <c r="H171" s="111"/>
    </row>
    <row r="172" ht="15.6" customHeight="1" spans="1:8">
      <c r="A172" s="7" t="s">
        <v>1</v>
      </c>
      <c r="B172" s="7"/>
      <c r="C172" s="7">
        <v>49</v>
      </c>
      <c r="D172" s="7">
        <v>50</v>
      </c>
      <c r="E172" s="7">
        <v>51</v>
      </c>
      <c r="F172" s="7">
        <v>52</v>
      </c>
      <c r="G172" s="7">
        <v>53</v>
      </c>
      <c r="H172" s="7">
        <v>54</v>
      </c>
    </row>
    <row r="173" ht="15.6" customHeight="1" spans="1:8">
      <c r="A173" s="7" t="s">
        <v>1485</v>
      </c>
      <c r="B173" s="7"/>
      <c r="C173" s="7" t="s">
        <v>1533</v>
      </c>
      <c r="D173" s="7" t="s">
        <v>1533</v>
      </c>
      <c r="E173" s="7" t="s">
        <v>1525</v>
      </c>
      <c r="F173" s="7" t="s">
        <v>1533</v>
      </c>
      <c r="G173" s="7" t="s">
        <v>1525</v>
      </c>
      <c r="H173" s="7" t="s">
        <v>1515</v>
      </c>
    </row>
    <row r="174" ht="15.6" customHeight="1" spans="1:8">
      <c r="A174" s="7" t="s">
        <v>1517</v>
      </c>
      <c r="B174" s="7"/>
      <c r="C174" s="9" t="s">
        <v>1530</v>
      </c>
      <c r="D174" s="9" t="s">
        <v>1577</v>
      </c>
      <c r="E174" s="9" t="s">
        <v>1578</v>
      </c>
      <c r="F174" s="9" t="s">
        <v>1579</v>
      </c>
      <c r="G174" s="9" t="s">
        <v>1580</v>
      </c>
      <c r="H174" s="7" t="s">
        <v>1581</v>
      </c>
    </row>
    <row r="175" ht="15.6" customHeight="1" spans="1:9">
      <c r="A175" s="7" t="s">
        <v>1494</v>
      </c>
      <c r="B175" s="7"/>
      <c r="C175" s="7">
        <v>4030</v>
      </c>
      <c r="D175" s="7">
        <v>4033</v>
      </c>
      <c r="E175" s="7">
        <v>3004</v>
      </c>
      <c r="F175" s="7">
        <v>4031</v>
      </c>
      <c r="G175" s="7">
        <v>3006</v>
      </c>
      <c r="H175" s="7">
        <v>2010</v>
      </c>
      <c r="I175" s="109"/>
    </row>
    <row r="176" ht="15.6" customHeight="1" spans="1:9">
      <c r="A176" s="123" t="s">
        <v>1522</v>
      </c>
      <c r="B176" s="11" t="s">
        <v>1496</v>
      </c>
      <c r="C176" s="7">
        <v>25.08</v>
      </c>
      <c r="D176" s="7">
        <v>74.64</v>
      </c>
      <c r="E176" s="7">
        <v>7.91</v>
      </c>
      <c r="F176" s="7">
        <v>37.62</v>
      </c>
      <c r="G176" s="7">
        <v>22.59</v>
      </c>
      <c r="H176" s="7">
        <v>0.51</v>
      </c>
      <c r="I176" s="153"/>
    </row>
    <row r="177" ht="15.6" customHeight="1" spans="1:9">
      <c r="A177" s="123"/>
      <c r="B177" s="11" t="s">
        <v>1497</v>
      </c>
      <c r="C177" s="7">
        <v>17.45</v>
      </c>
      <c r="D177" s="7">
        <v>40.31</v>
      </c>
      <c r="E177" s="7">
        <v>3.95</v>
      </c>
      <c r="F177" s="7">
        <v>26.17</v>
      </c>
      <c r="G177" s="7">
        <v>13.55</v>
      </c>
      <c r="H177" s="7">
        <v>1.8</v>
      </c>
      <c r="I177" s="153"/>
    </row>
    <row r="178" ht="15.6" customHeight="1" spans="1:9">
      <c r="A178" s="123"/>
      <c r="B178" s="11" t="s">
        <v>1498</v>
      </c>
      <c r="C178" s="7"/>
      <c r="D178" s="7"/>
      <c r="E178" s="7"/>
      <c r="F178" s="7"/>
      <c r="G178" s="7"/>
      <c r="H178" s="7"/>
      <c r="I178" s="153"/>
    </row>
    <row r="179" ht="15.6" customHeight="1" spans="1:9">
      <c r="A179" s="123"/>
      <c r="B179" s="7" t="s">
        <v>1119</v>
      </c>
      <c r="C179" s="69">
        <f t="shared" ref="C179:H179" si="23">C176/1.15+C177/1.09+C178</f>
        <v>37.8178699641005</v>
      </c>
      <c r="D179" s="69">
        <f t="shared" si="23"/>
        <v>101.885999202234</v>
      </c>
      <c r="E179" s="69">
        <f t="shared" si="23"/>
        <v>10.5021140805744</v>
      </c>
      <c r="F179" s="69">
        <f t="shared" si="23"/>
        <v>56.7222177901875</v>
      </c>
      <c r="G179" s="69">
        <f t="shared" si="23"/>
        <v>32.07467092142</v>
      </c>
      <c r="H179" s="69">
        <f t="shared" si="23"/>
        <v>2.09485440765856</v>
      </c>
      <c r="I179" s="153"/>
    </row>
    <row r="180" ht="15.6" customHeight="1" spans="1:9">
      <c r="A180" s="123" t="s">
        <v>1499</v>
      </c>
      <c r="B180" s="7" t="s">
        <v>1500</v>
      </c>
      <c r="C180" s="7">
        <v>2.7</v>
      </c>
      <c r="D180" s="7">
        <v>2.7</v>
      </c>
      <c r="E180" s="7">
        <v>1.3</v>
      </c>
      <c r="F180" s="7">
        <v>2.7</v>
      </c>
      <c r="G180" s="7">
        <v>1.3</v>
      </c>
      <c r="H180" s="7"/>
      <c r="I180" s="153"/>
    </row>
    <row r="181" ht="15.6" customHeight="1" spans="1:9">
      <c r="A181" s="123"/>
      <c r="B181" s="7" t="s">
        <v>1502</v>
      </c>
      <c r="C181" s="7"/>
      <c r="D181" s="7"/>
      <c r="E181" s="7">
        <v>7.7</v>
      </c>
      <c r="F181" s="7"/>
      <c r="G181" s="7"/>
      <c r="H181" s="7"/>
      <c r="I181" s="153"/>
    </row>
    <row r="182" ht="15.6" customHeight="1" spans="1:9">
      <c r="A182" s="123"/>
      <c r="B182" s="7" t="s">
        <v>1504</v>
      </c>
      <c r="C182" s="7">
        <v>7.7</v>
      </c>
      <c r="D182" s="7">
        <v>12.4</v>
      </c>
      <c r="E182" s="7"/>
      <c r="F182" s="7">
        <v>11.1</v>
      </c>
      <c r="G182" s="7">
        <v>10.2</v>
      </c>
      <c r="H182" s="7"/>
      <c r="I182" s="153"/>
    </row>
    <row r="183" ht="15.6" customHeight="1" spans="1:9">
      <c r="A183" s="123"/>
      <c r="B183" s="7" t="s">
        <v>1523</v>
      </c>
      <c r="C183" s="7"/>
      <c r="D183" s="7"/>
      <c r="E183" s="7"/>
      <c r="F183" s="7"/>
      <c r="G183" s="7"/>
      <c r="H183" s="7">
        <v>1.1</v>
      </c>
      <c r="I183" s="153"/>
    </row>
    <row r="184" ht="15.6" customHeight="1" spans="1:9">
      <c r="A184" s="123"/>
      <c r="B184" s="7" t="s">
        <v>1524</v>
      </c>
      <c r="C184" s="7"/>
      <c r="D184" s="7"/>
      <c r="E184" s="7"/>
      <c r="F184" s="7"/>
      <c r="G184" s="7"/>
      <c r="H184" s="7"/>
      <c r="I184" s="154"/>
    </row>
    <row r="185" ht="15.6" customHeight="1" spans="1:9">
      <c r="A185" s="123"/>
      <c r="B185" s="7" t="s">
        <v>913</v>
      </c>
      <c r="C185" s="7"/>
      <c r="D185" s="7"/>
      <c r="E185" s="7"/>
      <c r="F185" s="7"/>
      <c r="G185" s="7"/>
      <c r="H185" s="7"/>
      <c r="I185" s="155"/>
    </row>
    <row r="186" ht="15.6" customHeight="1" spans="1:9">
      <c r="A186" s="123"/>
      <c r="B186" s="7" t="s">
        <v>1510</v>
      </c>
      <c r="C186" s="7"/>
      <c r="D186" s="7"/>
      <c r="E186" s="7"/>
      <c r="F186" s="7"/>
      <c r="G186" s="7"/>
      <c r="H186" s="7"/>
      <c r="I186" s="156"/>
    </row>
    <row r="187" ht="15.6" customHeight="1" spans="1:9">
      <c r="A187" s="123"/>
      <c r="B187" s="7" t="s">
        <v>1161</v>
      </c>
      <c r="C187" s="7"/>
      <c r="D187" s="7"/>
      <c r="E187" s="7"/>
      <c r="F187" s="7"/>
      <c r="G187" s="69"/>
      <c r="H187" s="7"/>
      <c r="I187" s="157"/>
    </row>
    <row r="188" ht="15.6" customHeight="1" spans="1:9">
      <c r="A188" s="123"/>
      <c r="B188" s="7" t="s">
        <v>1119</v>
      </c>
      <c r="C188" s="69">
        <f t="shared" ref="C188:H188" si="24">C180*$J$12+C181*$J$13+C182*$J$14+C183*$J$15+C184*$J$16+C185*$J$17+C186*$J$18+C187*$J$19</f>
        <v>44.893</v>
      </c>
      <c r="D188" s="69">
        <f t="shared" si="24"/>
        <v>58.946</v>
      </c>
      <c r="E188" s="69">
        <f t="shared" si="24"/>
        <v>34.2075</v>
      </c>
      <c r="F188" s="69">
        <f t="shared" si="24"/>
        <v>55.059</v>
      </c>
      <c r="G188" s="69">
        <f t="shared" si="24"/>
        <v>41.028</v>
      </c>
      <c r="H188" s="69">
        <f t="shared" si="24"/>
        <v>0.583</v>
      </c>
      <c r="I188" s="157"/>
    </row>
    <row r="189" ht="15.6" customHeight="1" spans="1:9">
      <c r="A189" s="146" t="s">
        <v>1511</v>
      </c>
      <c r="B189" s="147"/>
      <c r="C189" s="34">
        <f t="shared" ref="C189:H189" si="25">C179+C188</f>
        <v>82.7108699641005</v>
      </c>
      <c r="D189" s="34">
        <f t="shared" si="25"/>
        <v>160.831999202234</v>
      </c>
      <c r="E189" s="34">
        <f t="shared" si="25"/>
        <v>44.7096140805744</v>
      </c>
      <c r="F189" s="34">
        <f t="shared" si="25"/>
        <v>111.781217790187</v>
      </c>
      <c r="G189" s="34">
        <f t="shared" si="25"/>
        <v>73.10267092142</v>
      </c>
      <c r="H189" s="69">
        <f t="shared" si="25"/>
        <v>2.67785440765856</v>
      </c>
      <c r="I189" s="157"/>
    </row>
    <row r="190" ht="15.6" customHeight="1" spans="1:9">
      <c r="A190" s="111" t="s">
        <v>1483</v>
      </c>
      <c r="B190" s="111"/>
      <c r="C190" s="111"/>
      <c r="D190" s="111"/>
      <c r="E190" s="111"/>
      <c r="F190" s="111"/>
      <c r="G190" s="111"/>
      <c r="H190" s="111"/>
      <c r="I190" s="158"/>
    </row>
    <row r="191" ht="15.6" customHeight="1" spans="1:8">
      <c r="A191" s="111"/>
      <c r="B191" s="111"/>
      <c r="C191" s="111"/>
      <c r="D191" s="111"/>
      <c r="E191" s="111"/>
      <c r="F191" s="111"/>
      <c r="G191" s="111"/>
      <c r="H191" s="111"/>
    </row>
    <row r="192" ht="15.6" customHeight="1" spans="1:8">
      <c r="A192" s="111"/>
      <c r="B192" s="111"/>
      <c r="C192" s="111"/>
      <c r="D192" s="111"/>
      <c r="E192" s="111"/>
      <c r="F192" s="111"/>
      <c r="G192" s="111"/>
      <c r="H192" s="111"/>
    </row>
    <row r="193" ht="15.6" customHeight="1" spans="1:8">
      <c r="A193" s="7" t="s">
        <v>1</v>
      </c>
      <c r="B193" s="7"/>
      <c r="C193" s="7">
        <v>55</v>
      </c>
      <c r="D193" s="7">
        <v>56</v>
      </c>
      <c r="E193" s="7">
        <v>57</v>
      </c>
      <c r="F193" s="7">
        <v>58</v>
      </c>
      <c r="G193" s="7">
        <v>59</v>
      </c>
      <c r="H193" s="7">
        <v>60</v>
      </c>
    </row>
    <row r="194" ht="15.6" customHeight="1" spans="1:8">
      <c r="A194" s="7" t="s">
        <v>1485</v>
      </c>
      <c r="B194" s="7"/>
      <c r="C194" s="159" t="s">
        <v>1582</v>
      </c>
      <c r="D194" s="34" t="s">
        <v>1583</v>
      </c>
      <c r="E194" s="7" t="s">
        <v>1529</v>
      </c>
      <c r="F194" s="34" t="s">
        <v>1584</v>
      </c>
      <c r="G194" s="7" t="s">
        <v>1529</v>
      </c>
      <c r="H194" s="7" t="s">
        <v>1585</v>
      </c>
    </row>
    <row r="195" ht="15.6" customHeight="1" spans="1:8">
      <c r="A195" s="7" t="s">
        <v>1517</v>
      </c>
      <c r="B195" s="7"/>
      <c r="C195" s="9"/>
      <c r="D195" s="7"/>
      <c r="E195" s="9" t="s">
        <v>1586</v>
      </c>
      <c r="F195" s="7"/>
      <c r="G195" s="9" t="s">
        <v>1547</v>
      </c>
      <c r="H195" s="9" t="s">
        <v>1587</v>
      </c>
    </row>
    <row r="196" ht="15.6" customHeight="1" spans="1:8">
      <c r="A196" s="7" t="s">
        <v>1494</v>
      </c>
      <c r="B196" s="7"/>
      <c r="C196" s="7">
        <v>5008</v>
      </c>
      <c r="D196" s="7">
        <v>6023</v>
      </c>
      <c r="E196" s="7">
        <v>4068</v>
      </c>
      <c r="F196" s="7">
        <v>9213</v>
      </c>
      <c r="G196" s="7">
        <v>4069</v>
      </c>
      <c r="H196" s="7">
        <v>1026</v>
      </c>
    </row>
    <row r="197" ht="15.6" customHeight="1" spans="1:8">
      <c r="A197" s="123" t="s">
        <v>1522</v>
      </c>
      <c r="B197" s="11" t="s">
        <v>1496</v>
      </c>
      <c r="C197" s="7">
        <v>3.21</v>
      </c>
      <c r="D197" s="7">
        <v>0.45</v>
      </c>
      <c r="E197" s="7">
        <v>0.43</v>
      </c>
      <c r="F197" s="7">
        <v>1.57</v>
      </c>
      <c r="G197" s="7">
        <v>1.75</v>
      </c>
      <c r="H197" s="9">
        <v>13.51</v>
      </c>
    </row>
    <row r="198" ht="15.6" customHeight="1" spans="1:8">
      <c r="A198" s="123"/>
      <c r="B198" s="11" t="s">
        <v>1497</v>
      </c>
      <c r="C198" s="7">
        <v>6.51</v>
      </c>
      <c r="D198" s="7">
        <v>1.16</v>
      </c>
      <c r="E198" s="7">
        <v>0.17</v>
      </c>
      <c r="F198" s="7">
        <v>1.57</v>
      </c>
      <c r="G198" s="7">
        <v>0.68</v>
      </c>
      <c r="H198" s="9">
        <v>15.76</v>
      </c>
    </row>
    <row r="199" ht="15.6" customHeight="1" spans="1:8">
      <c r="A199" s="123"/>
      <c r="B199" s="11" t="s">
        <v>1498</v>
      </c>
      <c r="C199" s="7">
        <v>0.58</v>
      </c>
      <c r="D199" s="7">
        <v>0.23</v>
      </c>
      <c r="E199" s="7">
        <v>0.01</v>
      </c>
      <c r="F199" s="7">
        <v>0.09</v>
      </c>
      <c r="G199" s="7">
        <v>0.03</v>
      </c>
      <c r="H199" s="7"/>
    </row>
    <row r="200" ht="15.6" customHeight="1" spans="1:8">
      <c r="A200" s="123"/>
      <c r="B200" s="7" t="s">
        <v>1119</v>
      </c>
      <c r="C200" s="69">
        <f t="shared" ref="C200:H200" si="26">C197/1.15+C198/1.09+C199</f>
        <v>9.34378141204627</v>
      </c>
      <c r="D200" s="69">
        <f t="shared" si="26"/>
        <v>1.68552453131233</v>
      </c>
      <c r="E200" s="69">
        <f t="shared" si="26"/>
        <v>0.539876346230554</v>
      </c>
      <c r="F200" s="69">
        <f t="shared" si="26"/>
        <v>2.89558436378141</v>
      </c>
      <c r="G200" s="69">
        <f t="shared" si="26"/>
        <v>2.17559234144396</v>
      </c>
      <c r="H200" s="69">
        <f t="shared" si="26"/>
        <v>26.2065416832868</v>
      </c>
    </row>
    <row r="201" ht="15.6" customHeight="1" spans="1:8">
      <c r="A201" s="123" t="s">
        <v>1499</v>
      </c>
      <c r="B201" s="7" t="s">
        <v>1500</v>
      </c>
      <c r="C201" s="7">
        <v>1.3</v>
      </c>
      <c r="D201" s="7">
        <v>1.3</v>
      </c>
      <c r="E201" s="7">
        <v>1</v>
      </c>
      <c r="F201" s="7">
        <v>2.4</v>
      </c>
      <c r="G201" s="7">
        <v>1</v>
      </c>
      <c r="H201" s="9"/>
    </row>
    <row r="202" ht="15.6" customHeight="1" spans="1:8">
      <c r="A202" s="123"/>
      <c r="B202" s="7" t="s">
        <v>1502</v>
      </c>
      <c r="C202" s="7"/>
      <c r="D202" s="7"/>
      <c r="E202" s="7"/>
      <c r="F202" s="7"/>
      <c r="G202" s="7"/>
      <c r="H202" s="7"/>
    </row>
    <row r="203" ht="15.6" customHeight="1" spans="1:8">
      <c r="A203" s="123"/>
      <c r="B203" s="7" t="s">
        <v>1504</v>
      </c>
      <c r="C203" s="7"/>
      <c r="D203" s="7"/>
      <c r="E203" s="7"/>
      <c r="F203" s="7"/>
      <c r="G203" s="7"/>
      <c r="H203" s="7"/>
    </row>
    <row r="204" ht="15.6" customHeight="1" spans="1:8">
      <c r="A204" s="123"/>
      <c r="B204" s="7" t="s">
        <v>1523</v>
      </c>
      <c r="C204" s="7">
        <v>12.9</v>
      </c>
      <c r="D204" s="7">
        <v>2.9</v>
      </c>
      <c r="E204" s="7">
        <v>3</v>
      </c>
      <c r="F204" s="7">
        <v>0.4</v>
      </c>
      <c r="G204" s="7">
        <v>5.4</v>
      </c>
      <c r="H204" s="7"/>
    </row>
    <row r="205" ht="15.6" customHeight="1" spans="1:8">
      <c r="A205" s="123"/>
      <c r="B205" s="7" t="s">
        <v>1524</v>
      </c>
      <c r="C205" s="7"/>
      <c r="D205" s="7"/>
      <c r="E205" s="7"/>
      <c r="F205" s="7"/>
      <c r="G205" s="7"/>
      <c r="H205" s="7"/>
    </row>
    <row r="206" ht="15.6" customHeight="1" spans="1:8">
      <c r="A206" s="123"/>
      <c r="B206" s="7" t="s">
        <v>913</v>
      </c>
      <c r="C206" s="7"/>
      <c r="D206" s="7"/>
      <c r="E206" s="7"/>
      <c r="F206" s="7"/>
      <c r="G206" s="7"/>
      <c r="H206" s="7"/>
    </row>
    <row r="207" ht="15.6" customHeight="1" spans="1:8">
      <c r="A207" s="123"/>
      <c r="B207" s="7" t="s">
        <v>1510</v>
      </c>
      <c r="C207" s="7"/>
      <c r="D207" s="7"/>
      <c r="E207" s="7"/>
      <c r="F207" s="7"/>
      <c r="G207" s="7"/>
      <c r="H207" s="7"/>
    </row>
    <row r="208" ht="15.6" customHeight="1" spans="1:8">
      <c r="A208" s="123"/>
      <c r="B208" s="7" t="s">
        <v>1161</v>
      </c>
      <c r="C208" s="7"/>
      <c r="D208" s="7"/>
      <c r="E208" s="7"/>
      <c r="F208" s="69"/>
      <c r="G208" s="7"/>
      <c r="H208" s="7"/>
    </row>
    <row r="209" ht="15.6" customHeight="1" spans="1:8">
      <c r="A209" s="123"/>
      <c r="B209" s="7" t="s">
        <v>1119</v>
      </c>
      <c r="C209" s="69">
        <f t="shared" ref="C209:H209" si="27">C201*$J$12+C202*$J$13+C203*$J$14+C204*$J$15+C205*$J$16+C206*$J$17+C207*$J$18+C208*$J$19</f>
        <v>17.367</v>
      </c>
      <c r="D209" s="69">
        <f t="shared" si="27"/>
        <v>12.067</v>
      </c>
      <c r="E209" s="69">
        <f t="shared" si="27"/>
        <v>9.69</v>
      </c>
      <c r="F209" s="69">
        <f t="shared" si="27"/>
        <v>19.652</v>
      </c>
      <c r="G209" s="69">
        <f t="shared" si="27"/>
        <v>10.962</v>
      </c>
      <c r="H209" s="69">
        <f t="shared" si="27"/>
        <v>0</v>
      </c>
    </row>
    <row r="210" ht="15.6" customHeight="1" spans="1:8">
      <c r="A210" s="146" t="s">
        <v>1511</v>
      </c>
      <c r="B210" s="147"/>
      <c r="C210" s="34">
        <f t="shared" ref="C210:H210" si="28">C200+C209</f>
        <v>26.7107814120463</v>
      </c>
      <c r="D210" s="34">
        <f t="shared" si="28"/>
        <v>13.7525245313123</v>
      </c>
      <c r="E210" s="34">
        <f t="shared" si="28"/>
        <v>10.2298763462306</v>
      </c>
      <c r="F210" s="34">
        <f t="shared" si="28"/>
        <v>22.5475843637814</v>
      </c>
      <c r="G210" s="34">
        <f t="shared" si="28"/>
        <v>13.137592341444</v>
      </c>
      <c r="H210" s="34">
        <f t="shared" si="28"/>
        <v>26.2065416832868</v>
      </c>
    </row>
    <row r="211" ht="15.6" customHeight="1" spans="1:8">
      <c r="A211" s="111" t="s">
        <v>1483</v>
      </c>
      <c r="B211" s="111"/>
      <c r="C211" s="111"/>
      <c r="D211" s="111"/>
      <c r="E211" s="111"/>
      <c r="F211" s="111"/>
      <c r="G211" s="111"/>
      <c r="H211" s="111"/>
    </row>
    <row r="212" ht="15.6" customHeight="1" spans="1:8">
      <c r="A212" s="111"/>
      <c r="B212" s="111"/>
      <c r="C212" s="111"/>
      <c r="D212" s="111"/>
      <c r="E212" s="111"/>
      <c r="F212" s="111"/>
      <c r="G212" s="111"/>
      <c r="H212" s="111"/>
    </row>
    <row r="213" ht="15.6" customHeight="1" spans="1:8">
      <c r="A213" s="111"/>
      <c r="B213" s="111"/>
      <c r="C213" s="111"/>
      <c r="D213" s="111"/>
      <c r="E213" s="111"/>
      <c r="F213" s="111"/>
      <c r="G213" s="111"/>
      <c r="H213" s="111"/>
    </row>
    <row r="214" ht="15.6" customHeight="1" spans="1:8">
      <c r="A214" s="7" t="s">
        <v>1</v>
      </c>
      <c r="B214" s="7"/>
      <c r="C214" s="7">
        <v>61</v>
      </c>
      <c r="D214" s="7">
        <v>62</v>
      </c>
      <c r="E214" s="7">
        <v>63</v>
      </c>
      <c r="F214" s="7">
        <v>64</v>
      </c>
      <c r="G214" s="7">
        <v>65</v>
      </c>
      <c r="H214" s="7">
        <v>66</v>
      </c>
    </row>
    <row r="215" ht="15.6" customHeight="1" spans="1:8">
      <c r="A215" s="7" t="s">
        <v>1485</v>
      </c>
      <c r="B215" s="7"/>
      <c r="C215" s="159" t="s">
        <v>1588</v>
      </c>
      <c r="D215" s="34" t="s">
        <v>1589</v>
      </c>
      <c r="E215" s="7" t="s">
        <v>1590</v>
      </c>
      <c r="F215" s="34" t="s">
        <v>1591</v>
      </c>
      <c r="G215" s="7" t="s">
        <v>1592</v>
      </c>
      <c r="H215" s="7" t="s">
        <v>1544</v>
      </c>
    </row>
    <row r="216" ht="15.6" customHeight="1" spans="1:8">
      <c r="A216" s="7" t="s">
        <v>1517</v>
      </c>
      <c r="B216" s="7"/>
      <c r="C216" s="9" t="s">
        <v>1593</v>
      </c>
      <c r="D216" s="9" t="s">
        <v>1594</v>
      </c>
      <c r="E216" s="9" t="s">
        <v>1595</v>
      </c>
      <c r="F216" s="7" t="s">
        <v>1519</v>
      </c>
      <c r="G216" s="9" t="s">
        <v>1545</v>
      </c>
      <c r="H216" s="9" t="s">
        <v>1596</v>
      </c>
    </row>
    <row r="217" ht="15.6" customHeight="1" spans="1:8">
      <c r="A217" s="7" t="s">
        <v>1494</v>
      </c>
      <c r="B217" s="7"/>
      <c r="C217" s="7">
        <v>4048</v>
      </c>
      <c r="D217" s="7">
        <v>2013</v>
      </c>
      <c r="E217" s="7">
        <v>4082</v>
      </c>
      <c r="F217" s="7">
        <v>1007</v>
      </c>
      <c r="G217" s="7">
        <v>1021</v>
      </c>
      <c r="H217" s="7">
        <v>8025</v>
      </c>
    </row>
    <row r="218" ht="15.6" customHeight="1" spans="1:8">
      <c r="A218" s="123" t="s">
        <v>1522</v>
      </c>
      <c r="B218" s="11" t="s">
        <v>1496</v>
      </c>
      <c r="C218" s="7">
        <v>4.71</v>
      </c>
      <c r="D218" s="7">
        <v>1.32</v>
      </c>
      <c r="E218" s="7">
        <v>195.05</v>
      </c>
      <c r="F218" s="7">
        <v>13.15</v>
      </c>
      <c r="G218" s="7">
        <v>0.81</v>
      </c>
      <c r="H218" s="9">
        <v>2.45</v>
      </c>
    </row>
    <row r="219" ht="15.6" customHeight="1" spans="1:8">
      <c r="A219" s="123"/>
      <c r="B219" s="11" t="s">
        <v>1497</v>
      </c>
      <c r="C219" s="7">
        <v>8.59</v>
      </c>
      <c r="D219" s="7">
        <v>4.79</v>
      </c>
      <c r="E219" s="7">
        <v>29.26</v>
      </c>
      <c r="F219" s="7">
        <v>8.54</v>
      </c>
      <c r="G219" s="7">
        <v>2.12</v>
      </c>
      <c r="H219" s="7">
        <v>3.77</v>
      </c>
    </row>
    <row r="220" ht="15.6" customHeight="1" spans="1:8">
      <c r="A220" s="123"/>
      <c r="B220" s="11" t="s">
        <v>1498</v>
      </c>
      <c r="C220" s="7"/>
      <c r="D220" s="7"/>
      <c r="E220" s="7"/>
      <c r="F220" s="7"/>
      <c r="G220" s="7">
        <v>0.08</v>
      </c>
      <c r="H220" s="7">
        <v>0.58</v>
      </c>
    </row>
    <row r="221" ht="15.6" customHeight="1" spans="1:8">
      <c r="A221" s="123"/>
      <c r="B221" s="7" t="s">
        <v>1119</v>
      </c>
      <c r="C221" s="69">
        <f t="shared" ref="C221:H221" si="29">C218/1.15+C219/1.09+C220</f>
        <v>11.9763861188672</v>
      </c>
      <c r="D221" s="69">
        <f t="shared" si="29"/>
        <v>5.54232149980056</v>
      </c>
      <c r="E221" s="69">
        <f t="shared" si="29"/>
        <v>196.452732349422</v>
      </c>
      <c r="F221" s="69">
        <f t="shared" si="29"/>
        <v>19.2696449940168</v>
      </c>
      <c r="G221" s="69">
        <f t="shared" si="29"/>
        <v>2.72930195452732</v>
      </c>
      <c r="H221" s="69">
        <f t="shared" si="29"/>
        <v>6.16915037893897</v>
      </c>
    </row>
    <row r="222" ht="15.6" customHeight="1" spans="1:8">
      <c r="A222" s="123" t="s">
        <v>1499</v>
      </c>
      <c r="B222" s="7" t="s">
        <v>1500</v>
      </c>
      <c r="C222" s="7">
        <v>1.3</v>
      </c>
      <c r="D222" s="7"/>
      <c r="E222" s="7">
        <v>7.7</v>
      </c>
      <c r="F222" s="7">
        <v>1.3</v>
      </c>
      <c r="G222" s="7">
        <v>1</v>
      </c>
      <c r="H222" s="9">
        <v>0.7</v>
      </c>
    </row>
    <row r="223" ht="15.6" customHeight="1" spans="1:8">
      <c r="A223" s="123"/>
      <c r="B223" s="7" t="s">
        <v>1502</v>
      </c>
      <c r="C223" s="7"/>
      <c r="D223" s="7"/>
      <c r="E223" s="7"/>
      <c r="F223" s="7"/>
      <c r="G223" s="7"/>
      <c r="H223" s="7"/>
    </row>
    <row r="224" ht="15.6" customHeight="1" spans="1:8">
      <c r="A224" s="123"/>
      <c r="B224" s="7" t="s">
        <v>1504</v>
      </c>
      <c r="C224" s="7">
        <v>3.4</v>
      </c>
      <c r="D224" s="7"/>
      <c r="E224" s="7"/>
      <c r="F224" s="7">
        <v>9.8</v>
      </c>
      <c r="G224" s="7">
        <v>1.7</v>
      </c>
      <c r="H224" s="7"/>
    </row>
    <row r="225" ht="15.6" customHeight="1" spans="1:8">
      <c r="A225" s="123"/>
      <c r="B225" s="7" t="s">
        <v>1523</v>
      </c>
      <c r="C225" s="7"/>
      <c r="D225" s="7">
        <v>4.2</v>
      </c>
      <c r="E225" s="7">
        <v>47.6</v>
      </c>
      <c r="F225" s="7"/>
      <c r="G225" s="7"/>
      <c r="H225" s="7">
        <v>10.6</v>
      </c>
    </row>
    <row r="226" ht="15.6" customHeight="1" spans="1:8">
      <c r="A226" s="123"/>
      <c r="B226" s="7" t="s">
        <v>1524</v>
      </c>
      <c r="C226" s="7"/>
      <c r="D226" s="7"/>
      <c r="E226" s="7"/>
      <c r="F226" s="7"/>
      <c r="G226" s="7"/>
      <c r="H226" s="7"/>
    </row>
    <row r="227" ht="15.6" customHeight="1" spans="1:8">
      <c r="A227" s="123"/>
      <c r="B227" s="7" t="s">
        <v>913</v>
      </c>
      <c r="C227" s="7"/>
      <c r="D227" s="7"/>
      <c r="E227" s="7"/>
      <c r="F227" s="7"/>
      <c r="G227" s="7"/>
      <c r="H227" s="7"/>
    </row>
    <row r="228" ht="15.6" customHeight="1" spans="1:8">
      <c r="A228" s="123"/>
      <c r="B228" s="7" t="s">
        <v>1510</v>
      </c>
      <c r="C228" s="7"/>
      <c r="D228" s="7"/>
      <c r="E228" s="7"/>
      <c r="F228" s="7"/>
      <c r="G228" s="7"/>
      <c r="H228" s="7"/>
    </row>
    <row r="229" ht="15.6" customHeight="1" spans="1:8">
      <c r="A229" s="123"/>
      <c r="B229" s="7" t="s">
        <v>1161</v>
      </c>
      <c r="C229" s="7"/>
      <c r="D229" s="7"/>
      <c r="E229" s="7"/>
      <c r="F229" s="69"/>
      <c r="G229" s="7"/>
      <c r="H229" s="7"/>
    </row>
    <row r="230" ht="15.6" customHeight="1" spans="1:8">
      <c r="A230" s="123"/>
      <c r="B230" s="7" t="s">
        <v>1119</v>
      </c>
      <c r="C230" s="69">
        <f t="shared" ref="C230:H230" si="30">C222*$J$12+C223*$J$13+C224*$J$14+C225*$J$15+C226*$J$16+C227*$J$17+C228*$J$18+C229*$J$19</f>
        <v>20.696</v>
      </c>
      <c r="D230" s="69">
        <f t="shared" si="30"/>
        <v>2.226</v>
      </c>
      <c r="E230" s="69">
        <f t="shared" si="30"/>
        <v>87.598</v>
      </c>
      <c r="F230" s="69">
        <f t="shared" si="30"/>
        <v>39.832</v>
      </c>
      <c r="G230" s="69">
        <f t="shared" si="30"/>
        <v>13.183</v>
      </c>
      <c r="H230" s="69">
        <f t="shared" si="30"/>
        <v>11.288</v>
      </c>
    </row>
    <row r="231" ht="15.6" customHeight="1" spans="1:8">
      <c r="A231" s="146" t="s">
        <v>1511</v>
      </c>
      <c r="B231" s="147"/>
      <c r="C231" s="34">
        <f t="shared" ref="C231:H231" si="31">C221+C230</f>
        <v>32.6723861188672</v>
      </c>
      <c r="D231" s="34">
        <f t="shared" si="31"/>
        <v>7.76832149980056</v>
      </c>
      <c r="E231" s="34">
        <f t="shared" si="31"/>
        <v>284.050732349422</v>
      </c>
      <c r="F231" s="34">
        <f t="shared" si="31"/>
        <v>59.1016449940168</v>
      </c>
      <c r="G231" s="34">
        <f t="shared" si="31"/>
        <v>15.9123019545273</v>
      </c>
      <c r="H231" s="34">
        <f t="shared" si="31"/>
        <v>17.457150378939</v>
      </c>
    </row>
    <row r="232" ht="15.6" customHeight="1" spans="1:8">
      <c r="A232" s="111" t="s">
        <v>1483</v>
      </c>
      <c r="B232" s="111"/>
      <c r="C232" s="111"/>
      <c r="D232" s="111"/>
      <c r="E232" s="111"/>
      <c r="F232" s="111"/>
      <c r="G232" s="111"/>
      <c r="H232" s="111"/>
    </row>
    <row r="233" ht="15.6" customHeight="1" spans="1:8">
      <c r="A233" s="111"/>
      <c r="B233" s="111"/>
      <c r="C233" s="111"/>
      <c r="D233" s="111"/>
      <c r="E233" s="111"/>
      <c r="F233" s="111"/>
      <c r="G233" s="111"/>
      <c r="H233" s="111"/>
    </row>
    <row r="234" ht="15.6" customHeight="1" spans="1:8">
      <c r="A234" s="111"/>
      <c r="B234" s="111"/>
      <c r="C234" s="111"/>
      <c r="D234" s="111"/>
      <c r="E234" s="111"/>
      <c r="F234" s="111"/>
      <c r="G234" s="111"/>
      <c r="H234" s="111"/>
    </row>
    <row r="235" ht="15.6" customHeight="1" spans="1:8">
      <c r="A235" s="7" t="s">
        <v>1</v>
      </c>
      <c r="B235" s="7"/>
      <c r="C235" s="7">
        <v>67</v>
      </c>
      <c r="D235" s="7">
        <v>68</v>
      </c>
      <c r="E235" s="7">
        <v>69</v>
      </c>
      <c r="F235" s="7">
        <v>70</v>
      </c>
      <c r="G235" s="7">
        <v>71</v>
      </c>
      <c r="H235" s="7">
        <v>72</v>
      </c>
    </row>
    <row r="236" ht="15.6" customHeight="1" spans="1:8">
      <c r="A236" s="7" t="s">
        <v>1485</v>
      </c>
      <c r="B236" s="7"/>
      <c r="C236" s="159" t="s">
        <v>1597</v>
      </c>
      <c r="D236" s="34" t="s">
        <v>1598</v>
      </c>
      <c r="E236" s="34" t="s">
        <v>1589</v>
      </c>
      <c r="F236" s="160" t="s">
        <v>1599</v>
      </c>
      <c r="G236" s="7" t="s">
        <v>1525</v>
      </c>
      <c r="H236" s="7" t="s">
        <v>1600</v>
      </c>
    </row>
    <row r="237" ht="15.6" customHeight="1" spans="1:8">
      <c r="A237" s="7" t="s">
        <v>1517</v>
      </c>
      <c r="B237" s="7"/>
      <c r="C237" s="9" t="s">
        <v>1586</v>
      </c>
      <c r="D237" s="9">
        <v>0.6</v>
      </c>
      <c r="E237" s="9" t="s">
        <v>1601</v>
      </c>
      <c r="F237" s="7" t="s">
        <v>1602</v>
      </c>
      <c r="G237" s="9" t="s">
        <v>1580</v>
      </c>
      <c r="H237" s="7" t="s">
        <v>1603</v>
      </c>
    </row>
    <row r="238" ht="15.6" customHeight="1" spans="1:8">
      <c r="A238" s="7" t="s">
        <v>1494</v>
      </c>
      <c r="B238" s="7"/>
      <c r="C238" s="7">
        <v>3030</v>
      </c>
      <c r="D238" s="7">
        <v>1042</v>
      </c>
      <c r="E238" s="7">
        <v>2052</v>
      </c>
      <c r="F238" s="7">
        <v>2032</v>
      </c>
      <c r="G238" s="7">
        <v>3006</v>
      </c>
      <c r="H238" s="7">
        <v>2005</v>
      </c>
    </row>
    <row r="239" ht="15.6" customHeight="1" spans="1:8">
      <c r="A239" s="123" t="s">
        <v>1522</v>
      </c>
      <c r="B239" s="11" t="s">
        <v>1496</v>
      </c>
      <c r="C239" s="7">
        <v>1.22</v>
      </c>
      <c r="D239" s="7">
        <v>0.41</v>
      </c>
      <c r="E239" s="7">
        <v>3.48</v>
      </c>
      <c r="F239" s="7">
        <v>30.48</v>
      </c>
      <c r="G239" s="7">
        <v>22.59</v>
      </c>
      <c r="H239" s="7">
        <v>3.99</v>
      </c>
    </row>
    <row r="240" ht="15.6" customHeight="1" spans="1:8">
      <c r="A240" s="123"/>
      <c r="B240" s="11" t="s">
        <v>1497</v>
      </c>
      <c r="C240" s="7">
        <v>1.22</v>
      </c>
      <c r="D240" s="7">
        <v>0.81</v>
      </c>
      <c r="E240" s="7">
        <v>7.96</v>
      </c>
      <c r="F240" s="7">
        <v>20.63</v>
      </c>
      <c r="G240" s="7">
        <v>13.55</v>
      </c>
      <c r="H240" s="7">
        <v>6.18</v>
      </c>
    </row>
    <row r="241" ht="15.6" customHeight="1" spans="1:8">
      <c r="A241" s="123"/>
      <c r="B241" s="11" t="s">
        <v>1498</v>
      </c>
      <c r="C241" s="7"/>
      <c r="D241" s="7"/>
      <c r="E241" s="7"/>
      <c r="F241" s="7">
        <v>2.1</v>
      </c>
      <c r="G241" s="7"/>
      <c r="H241" s="7">
        <v>1.55</v>
      </c>
    </row>
    <row r="242" ht="15.6" customHeight="1" spans="1:8">
      <c r="A242" s="123"/>
      <c r="B242" s="7" t="s">
        <v>1119</v>
      </c>
      <c r="C242" s="69">
        <f t="shared" ref="C242:H242" si="32">C239/1.15+C240/1.09+C241</f>
        <v>2.18013562026326</v>
      </c>
      <c r="D242" s="69">
        <f t="shared" si="32"/>
        <v>1.09964100518548</v>
      </c>
      <c r="E242" s="69">
        <f t="shared" si="32"/>
        <v>10.3288392500997</v>
      </c>
      <c r="F242" s="69">
        <f t="shared" si="32"/>
        <v>47.5309533306741</v>
      </c>
      <c r="G242" s="69">
        <f t="shared" si="32"/>
        <v>32.07467092142</v>
      </c>
      <c r="H242" s="69">
        <f t="shared" si="32"/>
        <v>10.6892899880335</v>
      </c>
    </row>
    <row r="243" ht="15.6" customHeight="1" spans="1:8">
      <c r="A243" s="123" t="s">
        <v>1499</v>
      </c>
      <c r="B243" s="7" t="s">
        <v>1500</v>
      </c>
      <c r="C243" s="7">
        <v>1.3</v>
      </c>
      <c r="D243" s="7"/>
      <c r="E243" s="7"/>
      <c r="F243" s="7">
        <v>2.4</v>
      </c>
      <c r="G243" s="7">
        <v>1.3</v>
      </c>
      <c r="H243" s="7">
        <f>1.3</f>
        <v>1.3</v>
      </c>
    </row>
    <row r="244" ht="15.6" customHeight="1" spans="1:8">
      <c r="A244" s="123"/>
      <c r="B244" s="7" t="s">
        <v>1502</v>
      </c>
      <c r="C244" s="7"/>
      <c r="D244" s="7"/>
      <c r="E244" s="7"/>
      <c r="F244" s="7"/>
      <c r="G244" s="7"/>
      <c r="H244" s="7"/>
    </row>
    <row r="245" ht="15.6" customHeight="1" spans="1:8">
      <c r="A245" s="123"/>
      <c r="B245" s="7" t="s">
        <v>1504</v>
      </c>
      <c r="C245" s="7">
        <v>1.5</v>
      </c>
      <c r="D245" s="7"/>
      <c r="E245" s="7"/>
      <c r="F245" s="7"/>
      <c r="G245" s="7">
        <v>10.2</v>
      </c>
      <c r="H245" s="7"/>
    </row>
    <row r="246" ht="15.6" customHeight="1" spans="1:8">
      <c r="A246" s="123"/>
      <c r="B246" s="7" t="s">
        <v>1523</v>
      </c>
      <c r="C246" s="7"/>
      <c r="D246" s="7"/>
      <c r="E246" s="7">
        <v>6.4</v>
      </c>
      <c r="F246" s="7">
        <v>26.7</v>
      </c>
      <c r="G246" s="7"/>
      <c r="H246" s="7">
        <v>20.8</v>
      </c>
    </row>
    <row r="247" ht="15.6" customHeight="1" spans="1:8">
      <c r="A247" s="123"/>
      <c r="B247" s="7" t="s">
        <v>1524</v>
      </c>
      <c r="C247" s="7"/>
      <c r="D247" s="7"/>
      <c r="E247" s="7"/>
      <c r="F247" s="7"/>
      <c r="G247" s="7"/>
      <c r="H247" s="7"/>
    </row>
    <row r="248" ht="15.6" customHeight="1" spans="1:8">
      <c r="A248" s="123"/>
      <c r="B248" s="7" t="s">
        <v>913</v>
      </c>
      <c r="C248" s="7"/>
      <c r="D248" s="7"/>
      <c r="E248" s="7"/>
      <c r="F248" s="7"/>
      <c r="G248" s="7"/>
      <c r="H248" s="7"/>
    </row>
    <row r="249" ht="15.6" customHeight="1" spans="1:8">
      <c r="A249" s="123"/>
      <c r="B249" s="7" t="s">
        <v>1510</v>
      </c>
      <c r="C249" s="7"/>
      <c r="D249" s="7"/>
      <c r="E249" s="7"/>
      <c r="F249" s="7"/>
      <c r="G249" s="7"/>
      <c r="H249" s="7"/>
    </row>
    <row r="250" ht="15.6" customHeight="1" spans="1:8">
      <c r="A250" s="123"/>
      <c r="B250" s="7" t="s">
        <v>1161</v>
      </c>
      <c r="C250" s="7"/>
      <c r="D250" s="7"/>
      <c r="E250" s="7"/>
      <c r="F250" s="69"/>
      <c r="G250" s="69"/>
      <c r="H250" s="7"/>
    </row>
    <row r="251" ht="15.6" customHeight="1" spans="1:8">
      <c r="A251" s="123"/>
      <c r="B251" s="7" t="s">
        <v>1119</v>
      </c>
      <c r="C251" s="69">
        <f t="shared" ref="C251:H251" si="33">C243*$J$12+C244*$J$13+C245*$J$14+C246*$J$15+C247*$J$16+C248*$J$17+C249*$J$18+C250*$J$19</f>
        <v>15.015</v>
      </c>
      <c r="D251" s="69">
        <f t="shared" si="33"/>
        <v>0</v>
      </c>
      <c r="E251" s="69">
        <f t="shared" si="33"/>
        <v>3.392</v>
      </c>
      <c r="F251" s="69">
        <f t="shared" si="33"/>
        <v>33.591</v>
      </c>
      <c r="G251" s="69">
        <f t="shared" si="33"/>
        <v>41.028</v>
      </c>
      <c r="H251" s="69">
        <f t="shared" si="33"/>
        <v>21.554</v>
      </c>
    </row>
    <row r="252" ht="15.6" customHeight="1" spans="1:8">
      <c r="A252" s="146" t="s">
        <v>1511</v>
      </c>
      <c r="B252" s="147"/>
      <c r="C252" s="34">
        <f t="shared" ref="C252:H252" si="34">C242+C251</f>
        <v>17.1951356202633</v>
      </c>
      <c r="D252" s="34">
        <f t="shared" si="34"/>
        <v>1.09964100518548</v>
      </c>
      <c r="E252" s="34">
        <f t="shared" si="34"/>
        <v>13.7208392500997</v>
      </c>
      <c r="F252" s="34">
        <f t="shared" si="34"/>
        <v>81.1219533306741</v>
      </c>
      <c r="G252" s="34">
        <f t="shared" si="34"/>
        <v>73.10267092142</v>
      </c>
      <c r="H252" s="69">
        <f t="shared" si="34"/>
        <v>32.2432899880335</v>
      </c>
    </row>
    <row r="253" ht="15.6" customHeight="1" spans="1:8">
      <c r="A253" s="111" t="s">
        <v>1483</v>
      </c>
      <c r="B253" s="111"/>
      <c r="C253" s="111"/>
      <c r="D253" s="111"/>
      <c r="E253" s="111"/>
      <c r="F253" s="111"/>
      <c r="G253" s="111"/>
      <c r="H253" s="111"/>
    </row>
    <row r="254" ht="15.6" customHeight="1" spans="1:8">
      <c r="A254" s="111"/>
      <c r="B254" s="111"/>
      <c r="C254" s="111"/>
      <c r="D254" s="111"/>
      <c r="E254" s="111"/>
      <c r="F254" s="111"/>
      <c r="G254" s="111"/>
      <c r="H254" s="111"/>
    </row>
    <row r="255" ht="15.6" customHeight="1" spans="1:8">
      <c r="A255" s="111"/>
      <c r="B255" s="111"/>
      <c r="C255" s="111"/>
      <c r="D255" s="111"/>
      <c r="E255" s="111"/>
      <c r="F255" s="111"/>
      <c r="G255" s="111"/>
      <c r="H255" s="111"/>
    </row>
    <row r="256" ht="15.6" customHeight="1" spans="1:8">
      <c r="A256" s="7" t="s">
        <v>1</v>
      </c>
      <c r="B256" s="7"/>
      <c r="C256" s="7">
        <v>73</v>
      </c>
      <c r="D256" s="7">
        <v>74</v>
      </c>
      <c r="E256" s="7">
        <v>75</v>
      </c>
      <c r="F256" s="7">
        <v>76</v>
      </c>
      <c r="G256" s="7">
        <v>77</v>
      </c>
      <c r="H256" s="7">
        <v>78</v>
      </c>
    </row>
    <row r="257" ht="15.6" customHeight="1" spans="1:8">
      <c r="A257" s="7" t="s">
        <v>1485</v>
      </c>
      <c r="B257" s="7"/>
      <c r="C257" s="7" t="s">
        <v>1528</v>
      </c>
      <c r="D257" s="7" t="s">
        <v>1533</v>
      </c>
      <c r="E257" s="7" t="s">
        <v>1535</v>
      </c>
      <c r="F257" s="7" t="s">
        <v>1528</v>
      </c>
      <c r="G257" s="7" t="s">
        <v>1487</v>
      </c>
      <c r="H257" s="161" t="s">
        <v>1604</v>
      </c>
    </row>
    <row r="258" ht="15.6" customHeight="1" spans="1:8">
      <c r="A258" s="7" t="s">
        <v>1517</v>
      </c>
      <c r="B258" s="7"/>
      <c r="C258" s="9" t="s">
        <v>1605</v>
      </c>
      <c r="D258" s="9" t="s">
        <v>1606</v>
      </c>
      <c r="E258" s="9" t="s">
        <v>1607</v>
      </c>
      <c r="F258" s="9" t="s">
        <v>1608</v>
      </c>
      <c r="G258" s="7" t="s">
        <v>1609</v>
      </c>
      <c r="H258" s="7" t="s">
        <v>1610</v>
      </c>
    </row>
    <row r="259" ht="15.6" customHeight="1" spans="1:8">
      <c r="A259" s="7" t="s">
        <v>1494</v>
      </c>
      <c r="B259" s="7"/>
      <c r="C259" s="7">
        <v>4023</v>
      </c>
      <c r="D259" s="7">
        <v>4032</v>
      </c>
      <c r="E259" s="7">
        <v>1031</v>
      </c>
      <c r="F259" s="7">
        <v>4020</v>
      </c>
      <c r="G259" s="7">
        <v>1017</v>
      </c>
      <c r="H259" s="7">
        <v>4054</v>
      </c>
    </row>
    <row r="260" ht="15.6" customHeight="1" spans="1:8">
      <c r="A260" s="123" t="s">
        <v>1522</v>
      </c>
      <c r="B260" s="11" t="s">
        <v>1496</v>
      </c>
      <c r="C260" s="7">
        <v>87.78</v>
      </c>
      <c r="D260" s="7">
        <v>46.14</v>
      </c>
      <c r="E260" s="7">
        <v>1.58</v>
      </c>
      <c r="F260" s="7">
        <v>45.92</v>
      </c>
      <c r="G260" s="7">
        <v>26.72</v>
      </c>
      <c r="H260" s="7">
        <v>0.24</v>
      </c>
    </row>
    <row r="261" ht="15.6" customHeight="1" spans="1:8">
      <c r="A261" s="123"/>
      <c r="B261" s="11" t="s">
        <v>1497</v>
      </c>
      <c r="C261" s="7">
        <v>41.47</v>
      </c>
      <c r="D261" s="7">
        <v>28.94</v>
      </c>
      <c r="E261" s="7">
        <v>1.34</v>
      </c>
      <c r="F261" s="7">
        <v>22.9</v>
      </c>
      <c r="G261" s="7">
        <v>29.07</v>
      </c>
      <c r="H261" s="7">
        <v>0.08</v>
      </c>
    </row>
    <row r="262" ht="15.6" customHeight="1" spans="1:8">
      <c r="A262" s="123"/>
      <c r="B262" s="11" t="s">
        <v>1498</v>
      </c>
      <c r="C262" s="7">
        <v>2.33</v>
      </c>
      <c r="D262" s="7"/>
      <c r="E262" s="7"/>
      <c r="F262" s="7">
        <v>1.46</v>
      </c>
      <c r="G262" s="7">
        <v>1.06</v>
      </c>
      <c r="H262" s="7"/>
    </row>
    <row r="263" ht="15.6" customHeight="1" spans="1:8">
      <c r="A263" s="123"/>
      <c r="B263" s="7" t="s">
        <v>1119</v>
      </c>
      <c r="C263" s="69">
        <f t="shared" ref="C263:H263" si="35">C260/1.15+C261/1.09+C262</f>
        <v>116.706306342242</v>
      </c>
      <c r="D263" s="69">
        <f t="shared" si="35"/>
        <v>66.6721978460311</v>
      </c>
      <c r="E263" s="69">
        <f t="shared" si="35"/>
        <v>2.6032708416434</v>
      </c>
      <c r="F263" s="69">
        <f t="shared" si="35"/>
        <v>62.3996090945353</v>
      </c>
      <c r="G263" s="69">
        <f t="shared" si="35"/>
        <v>50.9645073793379</v>
      </c>
      <c r="H263" s="69">
        <f t="shared" si="35"/>
        <v>0.282090147586757</v>
      </c>
    </row>
    <row r="264" ht="15.6" customHeight="1" spans="1:8">
      <c r="A264" s="123" t="s">
        <v>1499</v>
      </c>
      <c r="B264" s="7" t="s">
        <v>1500</v>
      </c>
      <c r="C264" s="7">
        <v>2.4</v>
      </c>
      <c r="D264" s="7">
        <v>2.7</v>
      </c>
      <c r="E264" s="7"/>
      <c r="F264" s="7">
        <v>2.4</v>
      </c>
      <c r="G264" s="7">
        <v>2.4</v>
      </c>
      <c r="H264" s="7"/>
    </row>
    <row r="265" ht="15.6" customHeight="1" spans="1:8">
      <c r="A265" s="123"/>
      <c r="B265" s="7" t="s">
        <v>1502</v>
      </c>
      <c r="C265" s="7"/>
      <c r="D265" s="7"/>
      <c r="E265" s="7"/>
      <c r="F265" s="7"/>
      <c r="G265" s="7"/>
      <c r="H265" s="7"/>
    </row>
    <row r="266" ht="15.6" customHeight="1" spans="1:8">
      <c r="A266" s="123"/>
      <c r="B266" s="7" t="s">
        <v>1504</v>
      </c>
      <c r="C266" s="7">
        <v>16</v>
      </c>
      <c r="D266" s="7">
        <v>11.6</v>
      </c>
      <c r="E266" s="7"/>
      <c r="F266" s="7">
        <v>12.4</v>
      </c>
      <c r="G266" s="7">
        <v>12.6</v>
      </c>
      <c r="H266" s="7"/>
    </row>
    <row r="267" ht="15.6" customHeight="1" spans="1:8">
      <c r="A267" s="123"/>
      <c r="B267" s="7" t="s">
        <v>1523</v>
      </c>
      <c r="C267" s="7"/>
      <c r="D267" s="7"/>
      <c r="E267" s="7"/>
      <c r="F267" s="7"/>
      <c r="G267" s="7"/>
      <c r="H267" s="7"/>
    </row>
    <row r="268" ht="15.6" customHeight="1" spans="1:8">
      <c r="A268" s="123"/>
      <c r="B268" s="7" t="s">
        <v>1524</v>
      </c>
      <c r="C268" s="7"/>
      <c r="D268" s="7"/>
      <c r="E268" s="7"/>
      <c r="F268" s="7"/>
      <c r="G268" s="7"/>
      <c r="H268" s="7"/>
    </row>
    <row r="269" ht="15.6" customHeight="1" spans="1:8">
      <c r="A269" s="123"/>
      <c r="B269" s="7" t="s">
        <v>913</v>
      </c>
      <c r="C269" s="7"/>
      <c r="D269" s="7"/>
      <c r="E269" s="7"/>
      <c r="F269" s="7"/>
      <c r="G269" s="7"/>
      <c r="H269" s="7"/>
    </row>
    <row r="270" ht="15.6" customHeight="1" spans="1:8">
      <c r="A270" s="123"/>
      <c r="B270" s="7" t="s">
        <v>1510</v>
      </c>
      <c r="C270" s="7"/>
      <c r="D270" s="7"/>
      <c r="E270" s="7"/>
      <c r="F270" s="7"/>
      <c r="G270" s="7"/>
      <c r="H270" s="7"/>
    </row>
    <row r="271" ht="15.6" customHeight="1" spans="1:8">
      <c r="A271" s="123"/>
      <c r="B271" s="7" t="s">
        <v>1161</v>
      </c>
      <c r="C271" s="69"/>
      <c r="D271" s="7"/>
      <c r="E271" s="7"/>
      <c r="F271" s="69"/>
      <c r="G271" s="69"/>
      <c r="H271" s="7"/>
    </row>
    <row r="272" ht="15.6" customHeight="1" spans="1:8">
      <c r="A272" s="123"/>
      <c r="B272" s="7" t="s">
        <v>1119</v>
      </c>
      <c r="C272" s="69">
        <f t="shared" ref="C272:H272" si="36">C264*$J$12+C265*$J$13+C266*$J$14+C267*$J$15+C268*$J$16+C269*$J$17+C270*$J$18+C271*$J$19</f>
        <v>67.28</v>
      </c>
      <c r="D272" s="69">
        <f t="shared" si="36"/>
        <v>56.554</v>
      </c>
      <c r="E272" s="69">
        <f t="shared" si="36"/>
        <v>0</v>
      </c>
      <c r="F272" s="69">
        <f t="shared" si="36"/>
        <v>56.516</v>
      </c>
      <c r="G272" s="69">
        <f t="shared" si="36"/>
        <v>57.114</v>
      </c>
      <c r="H272" s="69">
        <f t="shared" si="36"/>
        <v>0</v>
      </c>
    </row>
    <row r="273" ht="15.6" customHeight="1" spans="1:8">
      <c r="A273" s="146" t="s">
        <v>1511</v>
      </c>
      <c r="B273" s="147"/>
      <c r="C273" s="34">
        <f t="shared" ref="C273:H273" si="37">C263+C272</f>
        <v>183.986306342242</v>
      </c>
      <c r="D273" s="34">
        <f t="shared" si="37"/>
        <v>123.226197846031</v>
      </c>
      <c r="E273" s="34">
        <f t="shared" si="37"/>
        <v>2.6032708416434</v>
      </c>
      <c r="F273" s="34">
        <f t="shared" si="37"/>
        <v>118.915609094535</v>
      </c>
      <c r="G273" s="34">
        <f t="shared" si="37"/>
        <v>108.078507379338</v>
      </c>
      <c r="H273" s="69">
        <f t="shared" si="37"/>
        <v>0.282090147586757</v>
      </c>
    </row>
    <row r="274" ht="15.6" customHeight="1" spans="1:8">
      <c r="A274" s="111" t="s">
        <v>1483</v>
      </c>
      <c r="B274" s="111"/>
      <c r="C274" s="111"/>
      <c r="D274" s="111"/>
      <c r="E274" s="111"/>
      <c r="F274" s="111"/>
      <c r="G274" s="111"/>
      <c r="H274" s="111"/>
    </row>
    <row r="275" ht="15.6" customHeight="1" spans="1:8">
      <c r="A275" s="111"/>
      <c r="B275" s="111"/>
      <c r="C275" s="111"/>
      <c r="D275" s="111"/>
      <c r="E275" s="111"/>
      <c r="F275" s="111"/>
      <c r="G275" s="111"/>
      <c r="H275" s="111"/>
    </row>
    <row r="276" ht="15.6" customHeight="1" spans="1:8">
      <c r="A276" s="111"/>
      <c r="B276" s="111"/>
      <c r="C276" s="111"/>
      <c r="D276" s="111"/>
      <c r="E276" s="111"/>
      <c r="F276" s="111"/>
      <c r="G276" s="111"/>
      <c r="H276" s="111"/>
    </row>
    <row r="277" ht="15.6" customHeight="1" spans="1:8">
      <c r="A277" s="7" t="s">
        <v>1</v>
      </c>
      <c r="B277" s="7"/>
      <c r="C277" s="7">
        <v>79</v>
      </c>
      <c r="D277" s="7">
        <v>80</v>
      </c>
      <c r="E277" s="7">
        <v>81</v>
      </c>
      <c r="F277" s="7">
        <v>82</v>
      </c>
      <c r="G277" s="7">
        <v>83</v>
      </c>
      <c r="H277" s="7">
        <v>84</v>
      </c>
    </row>
    <row r="278" ht="15.6" customHeight="1" spans="1:8">
      <c r="A278" s="7" t="s">
        <v>1485</v>
      </c>
      <c r="B278" s="7"/>
      <c r="C278" s="7" t="s">
        <v>1533</v>
      </c>
      <c r="D278" s="7" t="s">
        <v>1533</v>
      </c>
      <c r="E278" s="7" t="s">
        <v>1611</v>
      </c>
      <c r="F278" s="7" t="s">
        <v>1612</v>
      </c>
      <c r="G278" s="7" t="s">
        <v>1613</v>
      </c>
      <c r="H278" s="7" t="s">
        <v>1614</v>
      </c>
    </row>
    <row r="279" ht="15.6" customHeight="1" spans="1:8">
      <c r="A279" s="7" t="s">
        <v>1517</v>
      </c>
      <c r="B279" s="7"/>
      <c r="C279" s="9">
        <v>50</v>
      </c>
      <c r="D279" s="9">
        <v>40</v>
      </c>
      <c r="E279" s="9" t="s">
        <v>1615</v>
      </c>
      <c r="F279" s="9" t="s">
        <v>1616</v>
      </c>
      <c r="G279" s="7" t="s">
        <v>1558</v>
      </c>
      <c r="H279" s="9" t="s">
        <v>1617</v>
      </c>
    </row>
    <row r="280" ht="15.6" customHeight="1" spans="1:8">
      <c r="A280" s="7" t="s">
        <v>1494</v>
      </c>
      <c r="B280" s="7"/>
      <c r="C280" s="7">
        <v>4036</v>
      </c>
      <c r="D280" s="7">
        <v>4035</v>
      </c>
      <c r="E280" s="7">
        <v>8014</v>
      </c>
      <c r="F280" s="7">
        <v>1045</v>
      </c>
      <c r="G280" s="7">
        <v>1037</v>
      </c>
      <c r="H280" s="7">
        <v>5017</v>
      </c>
    </row>
    <row r="281" ht="15.6" customHeight="1" spans="1:8">
      <c r="A281" s="123" t="s">
        <v>1522</v>
      </c>
      <c r="B281" s="11" t="s">
        <v>1496</v>
      </c>
      <c r="C281" s="7">
        <v>220.54</v>
      </c>
      <c r="D281" s="7">
        <v>166.25</v>
      </c>
      <c r="E281" s="7">
        <v>0.62</v>
      </c>
      <c r="F281" s="7">
        <v>178.76</v>
      </c>
      <c r="G281" s="7">
        <v>0.48</v>
      </c>
      <c r="H281" s="7">
        <v>107.76</v>
      </c>
    </row>
    <row r="282" ht="15.6" customHeight="1" spans="1:8">
      <c r="A282" s="123"/>
      <c r="B282" s="11" t="s">
        <v>1497</v>
      </c>
      <c r="C282" s="7">
        <v>113.13</v>
      </c>
      <c r="D282" s="7">
        <v>89.78</v>
      </c>
      <c r="E282" s="7">
        <v>2.87</v>
      </c>
      <c r="F282" s="7">
        <v>46.2</v>
      </c>
      <c r="G282" s="7">
        <v>1.68</v>
      </c>
      <c r="H282" s="7">
        <v>20.49</v>
      </c>
    </row>
    <row r="283" ht="15.6" customHeight="1" spans="1:8">
      <c r="A283" s="123"/>
      <c r="B283" s="11" t="s">
        <v>1498</v>
      </c>
      <c r="C283" s="7"/>
      <c r="D283" s="7"/>
      <c r="E283" s="7">
        <v>1.02</v>
      </c>
      <c r="F283" s="7"/>
      <c r="G283" s="7"/>
      <c r="H283" s="7"/>
    </row>
    <row r="284" ht="15.6" customHeight="1" spans="1:8">
      <c r="A284" s="123"/>
      <c r="B284" s="7" t="s">
        <v>1119</v>
      </c>
      <c r="C284" s="69">
        <f t="shared" ref="C284:H284" si="38">C281/1.15+C282/1.09+C283</f>
        <v>295.562903869166</v>
      </c>
      <c r="D284" s="69">
        <f t="shared" si="38"/>
        <v>226.932189868369</v>
      </c>
      <c r="E284" s="69">
        <f t="shared" si="38"/>
        <v>4.19215795771839</v>
      </c>
      <c r="F284" s="69">
        <f t="shared" si="38"/>
        <v>197.828799361787</v>
      </c>
      <c r="G284" s="69">
        <f t="shared" si="38"/>
        <v>1.95867570801755</v>
      </c>
      <c r="H284" s="69">
        <f t="shared" si="38"/>
        <v>112.502512963702</v>
      </c>
    </row>
    <row r="285" ht="15.6" customHeight="1" spans="1:8">
      <c r="A285" s="123" t="s">
        <v>1499</v>
      </c>
      <c r="B285" s="7" t="s">
        <v>1500</v>
      </c>
      <c r="C285" s="7">
        <v>2.7</v>
      </c>
      <c r="D285" s="7">
        <v>2.7</v>
      </c>
      <c r="E285" s="7">
        <v>1.3</v>
      </c>
      <c r="F285" s="7">
        <v>3.7</v>
      </c>
      <c r="G285" s="7"/>
      <c r="H285" s="7">
        <v>3.7</v>
      </c>
    </row>
    <row r="286" ht="15.6" customHeight="1" spans="1:8">
      <c r="A286" s="123"/>
      <c r="B286" s="7" t="s">
        <v>1502</v>
      </c>
      <c r="C286" s="7"/>
      <c r="D286" s="7"/>
      <c r="E286" s="7"/>
      <c r="F286" s="7"/>
      <c r="G286" s="7"/>
      <c r="H286" s="7"/>
    </row>
    <row r="287" ht="15.6" customHeight="1" spans="1:8">
      <c r="A287" s="123"/>
      <c r="B287" s="7" t="s">
        <v>1504</v>
      </c>
      <c r="C287" s="7">
        <v>18.9</v>
      </c>
      <c r="D287" s="7">
        <v>16.9</v>
      </c>
      <c r="E287" s="7"/>
      <c r="F287" s="7">
        <v>7.9</v>
      </c>
      <c r="G287" s="7"/>
      <c r="H287" s="7">
        <v>4.6</v>
      </c>
    </row>
    <row r="288" ht="15.6" customHeight="1" spans="1:8">
      <c r="A288" s="123"/>
      <c r="B288" s="7" t="s">
        <v>1523</v>
      </c>
      <c r="C288" s="7"/>
      <c r="D288" s="7"/>
      <c r="E288" s="7">
        <v>6</v>
      </c>
      <c r="F288" s="7"/>
      <c r="G288" s="7"/>
      <c r="H288" s="7">
        <v>34.5</v>
      </c>
    </row>
    <row r="289" ht="15.6" customHeight="1" spans="1:8">
      <c r="A289" s="123"/>
      <c r="B289" s="7" t="s">
        <v>1524</v>
      </c>
      <c r="C289" s="7"/>
      <c r="D289" s="7"/>
      <c r="E289" s="7"/>
      <c r="F289" s="7"/>
      <c r="G289" s="7">
        <v>74.5</v>
      </c>
      <c r="H289" s="7"/>
    </row>
    <row r="290" ht="15.6" customHeight="1" spans="1:8">
      <c r="A290" s="123"/>
      <c r="B290" s="7" t="s">
        <v>913</v>
      </c>
      <c r="C290" s="7"/>
      <c r="D290" s="7"/>
      <c r="E290" s="7"/>
      <c r="F290" s="7"/>
      <c r="G290" s="7"/>
      <c r="H290" s="7"/>
    </row>
    <row r="291" ht="15.6" customHeight="1" spans="1:8">
      <c r="A291" s="123"/>
      <c r="B291" s="7" t="s">
        <v>1510</v>
      </c>
      <c r="C291" s="7"/>
      <c r="D291" s="7"/>
      <c r="E291" s="7"/>
      <c r="F291" s="7"/>
      <c r="G291" s="7"/>
      <c r="H291" s="7"/>
    </row>
    <row r="292" ht="15.6" customHeight="1" spans="1:8">
      <c r="A292" s="123"/>
      <c r="B292" s="7" t="s">
        <v>1161</v>
      </c>
      <c r="C292" s="69"/>
      <c r="D292" s="69"/>
      <c r="E292" s="7"/>
      <c r="F292" s="69"/>
      <c r="G292" s="69"/>
      <c r="H292" s="69"/>
    </row>
    <row r="293" ht="15.6" customHeight="1" spans="1:8">
      <c r="A293" s="123"/>
      <c r="B293" s="7" t="s">
        <v>1119</v>
      </c>
      <c r="C293" s="69">
        <f>C285*$J$12+C286*$J$13+C287*$J$14+C288*$J$15+C289*$J$16+C290*$J$17+C291*$J$18+C292*$J$19</f>
        <v>78.381</v>
      </c>
      <c r="D293" s="69">
        <f>D285*$J$12+D286*$J$13+D287*$J$14+D288*$J$15+D289*$J$16+D290*$J$17+D291*$J$18+D292*$J$19</f>
        <v>72.401</v>
      </c>
      <c r="E293" s="69">
        <f>E285*J12+E288*J15</f>
        <v>13.71</v>
      </c>
      <c r="F293" s="69">
        <f>F285*J12+F287*J14</f>
        <v>53.591</v>
      </c>
      <c r="G293" s="69">
        <f>G289*材料预算价!K26</f>
        <v>8.195</v>
      </c>
      <c r="H293" s="69">
        <f>H285*J12+H287*J14+H288*J15</f>
        <v>62.009</v>
      </c>
    </row>
    <row r="294" ht="15.6" customHeight="1" spans="1:8">
      <c r="A294" s="146" t="s">
        <v>1511</v>
      </c>
      <c r="B294" s="147"/>
      <c r="C294" s="34">
        <f t="shared" ref="C294:H294" si="39">C284+C293</f>
        <v>373.943903869166</v>
      </c>
      <c r="D294" s="34">
        <f t="shared" si="39"/>
        <v>299.333189868369</v>
      </c>
      <c r="E294" s="34">
        <f t="shared" si="39"/>
        <v>17.9021579577184</v>
      </c>
      <c r="F294" s="34">
        <f t="shared" si="39"/>
        <v>251.419799361787</v>
      </c>
      <c r="G294" s="34">
        <f t="shared" si="39"/>
        <v>10.1536757080176</v>
      </c>
      <c r="H294" s="34">
        <f t="shared" si="39"/>
        <v>174.511512963702</v>
      </c>
    </row>
  </sheetData>
  <sheetProtection formatCells="0" insertHyperlinks="0" autoFilter="0"/>
  <mergeCells count="112">
    <mergeCell ref="A4:B4"/>
    <mergeCell ref="A5:B5"/>
    <mergeCell ref="A6:B6"/>
    <mergeCell ref="A7:B7"/>
    <mergeCell ref="A21:B21"/>
    <mergeCell ref="A25:B25"/>
    <mergeCell ref="A26:B26"/>
    <mergeCell ref="A27:B27"/>
    <mergeCell ref="A28:B28"/>
    <mergeCell ref="A42:B42"/>
    <mergeCell ref="A46:B46"/>
    <mergeCell ref="A47:B47"/>
    <mergeCell ref="A48:B48"/>
    <mergeCell ref="A49:B49"/>
    <mergeCell ref="A63:B63"/>
    <mergeCell ref="A67:B67"/>
    <mergeCell ref="A68:B68"/>
    <mergeCell ref="A69:B69"/>
    <mergeCell ref="A70:B70"/>
    <mergeCell ref="A84:B84"/>
    <mergeCell ref="A88:B88"/>
    <mergeCell ref="A89:B89"/>
    <mergeCell ref="A90:B90"/>
    <mergeCell ref="A91:B91"/>
    <mergeCell ref="A105:B105"/>
    <mergeCell ref="A109:B109"/>
    <mergeCell ref="A110:B110"/>
    <mergeCell ref="A111:B111"/>
    <mergeCell ref="A112:B112"/>
    <mergeCell ref="A126:B126"/>
    <mergeCell ref="A130:B130"/>
    <mergeCell ref="A131:B131"/>
    <mergeCell ref="A132:B132"/>
    <mergeCell ref="A133:B133"/>
    <mergeCell ref="A147:B147"/>
    <mergeCell ref="A151:B151"/>
    <mergeCell ref="A152:B152"/>
    <mergeCell ref="A153:B153"/>
    <mergeCell ref="A154:B154"/>
    <mergeCell ref="A168:B168"/>
    <mergeCell ref="A172:B172"/>
    <mergeCell ref="A173:B173"/>
    <mergeCell ref="A174:B174"/>
    <mergeCell ref="A175:B175"/>
    <mergeCell ref="A189:B189"/>
    <mergeCell ref="A193:B193"/>
    <mergeCell ref="A194:B194"/>
    <mergeCell ref="A195:B195"/>
    <mergeCell ref="A196:B196"/>
    <mergeCell ref="A210:B210"/>
    <mergeCell ref="A214:B214"/>
    <mergeCell ref="A215:B215"/>
    <mergeCell ref="A216:B216"/>
    <mergeCell ref="A217:B217"/>
    <mergeCell ref="A231:B231"/>
    <mergeCell ref="A235:B235"/>
    <mergeCell ref="A236:B236"/>
    <mergeCell ref="A237:B237"/>
    <mergeCell ref="A238:B238"/>
    <mergeCell ref="A252:B252"/>
    <mergeCell ref="A256:B256"/>
    <mergeCell ref="A257:B257"/>
    <mergeCell ref="A258:B258"/>
    <mergeCell ref="A259:B259"/>
    <mergeCell ref="A273:B273"/>
    <mergeCell ref="A277:B277"/>
    <mergeCell ref="A278:B278"/>
    <mergeCell ref="A279:B279"/>
    <mergeCell ref="A280:B280"/>
    <mergeCell ref="A294:B294"/>
    <mergeCell ref="A8:A11"/>
    <mergeCell ref="A12:A20"/>
    <mergeCell ref="A29:A32"/>
    <mergeCell ref="A33:A41"/>
    <mergeCell ref="A50:A53"/>
    <mergeCell ref="A54:A62"/>
    <mergeCell ref="A71:A74"/>
    <mergeCell ref="A75:A83"/>
    <mergeCell ref="A92:A95"/>
    <mergeCell ref="A96:A104"/>
    <mergeCell ref="A113:A116"/>
    <mergeCell ref="A117:A125"/>
    <mergeCell ref="A134:A137"/>
    <mergeCell ref="A138:A146"/>
    <mergeCell ref="A155:A158"/>
    <mergeCell ref="A159:A167"/>
    <mergeCell ref="A176:A179"/>
    <mergeCell ref="A180:A188"/>
    <mergeCell ref="A197:A200"/>
    <mergeCell ref="A201:A209"/>
    <mergeCell ref="A218:A221"/>
    <mergeCell ref="A222:A230"/>
    <mergeCell ref="A239:A242"/>
    <mergeCell ref="A243:A251"/>
    <mergeCell ref="A260:A263"/>
    <mergeCell ref="A264:A272"/>
    <mergeCell ref="A281:A284"/>
    <mergeCell ref="A285:A293"/>
    <mergeCell ref="A1:H3"/>
    <mergeCell ref="A43:H45"/>
    <mergeCell ref="A22:H24"/>
    <mergeCell ref="A85:H87"/>
    <mergeCell ref="A232:H234"/>
    <mergeCell ref="A106:H108"/>
    <mergeCell ref="A64:H66"/>
    <mergeCell ref="A148:H150"/>
    <mergeCell ref="A169:H171"/>
    <mergeCell ref="A190:H192"/>
    <mergeCell ref="A211:H213"/>
    <mergeCell ref="A127:H129"/>
    <mergeCell ref="A253:H255"/>
    <mergeCell ref="A274:H276"/>
  </mergeCells>
  <pageMargins left="0.94" right="0.94" top="1.18" bottom="0.98" header="0.51" footer="0.51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tabColor theme="0"/>
  </sheetPr>
  <dimension ref="A1:X20"/>
  <sheetViews>
    <sheetView workbookViewId="0">
      <pane xSplit="2" ySplit="4" topLeftCell="C5" activePane="bottomRight" state="frozen"/>
      <selection/>
      <selection pane="topRight"/>
      <selection pane="bottomLeft"/>
      <selection pane="bottomRight" activeCell="K4608" sqref="K4608"/>
    </sheetView>
  </sheetViews>
  <sheetFormatPr defaultColWidth="9" defaultRowHeight="21" customHeight="1"/>
  <cols>
    <col min="1" max="1" width="6.25" style="62" customWidth="1"/>
    <col min="2" max="2" width="14.375" style="62" customWidth="1"/>
    <col min="3" max="13" width="9" style="62"/>
    <col min="15" max="15" width="10.5" customWidth="1"/>
    <col min="16" max="16" width="11.25" customWidth="1"/>
  </cols>
  <sheetData>
    <row r="1" customHeight="1" spans="1:16">
      <c r="A1" s="93" t="s">
        <v>1618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P1" s="134">
        <f>材料预算价!K5-材料预算价!L5</f>
        <v>141.58936</v>
      </c>
    </row>
    <row r="2" customHeight="1" spans="1:24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O2" s="135" t="s">
        <v>1619</v>
      </c>
      <c r="P2" s="135"/>
      <c r="Q2" s="135"/>
      <c r="R2" s="135"/>
      <c r="S2" s="135"/>
      <c r="T2" s="135"/>
      <c r="U2" s="135"/>
      <c r="V2" s="135"/>
      <c r="W2" s="135"/>
      <c r="X2" s="135"/>
    </row>
    <row r="3" s="62" customFormat="1" customHeight="1" spans="1:24">
      <c r="A3" s="130" t="s">
        <v>104</v>
      </c>
      <c r="B3" s="130" t="s">
        <v>1620</v>
      </c>
      <c r="C3" s="130" t="s">
        <v>1621</v>
      </c>
      <c r="D3" s="130" t="s">
        <v>1622</v>
      </c>
      <c r="E3" s="67" t="s">
        <v>979</v>
      </c>
      <c r="F3" s="67"/>
      <c r="G3" s="67" t="s">
        <v>961</v>
      </c>
      <c r="H3" s="67"/>
      <c r="I3" s="67" t="s">
        <v>1012</v>
      </c>
      <c r="J3" s="67"/>
      <c r="K3" s="67" t="s">
        <v>913</v>
      </c>
      <c r="L3" s="67"/>
      <c r="M3" s="130" t="s">
        <v>422</v>
      </c>
      <c r="O3" s="133" t="s">
        <v>979</v>
      </c>
      <c r="P3" s="133"/>
      <c r="Q3" s="133" t="s">
        <v>961</v>
      </c>
      <c r="R3" s="133"/>
      <c r="S3" s="133" t="s">
        <v>1012</v>
      </c>
      <c r="T3" s="133"/>
      <c r="U3" s="133" t="s">
        <v>913</v>
      </c>
      <c r="V3" s="133"/>
      <c r="W3" s="140" t="s">
        <v>422</v>
      </c>
      <c r="X3" s="140" t="s">
        <v>1623</v>
      </c>
    </row>
    <row r="4" s="62" customFormat="1" customHeight="1" spans="1:24">
      <c r="A4" s="131"/>
      <c r="B4" s="131"/>
      <c r="C4" s="131"/>
      <c r="D4" s="131"/>
      <c r="E4" s="67" t="s">
        <v>1624</v>
      </c>
      <c r="F4" s="67" t="s">
        <v>160</v>
      </c>
      <c r="G4" s="67" t="s">
        <v>1624</v>
      </c>
      <c r="H4" s="67" t="s">
        <v>160</v>
      </c>
      <c r="I4" s="67" t="s">
        <v>1624</v>
      </c>
      <c r="J4" s="67" t="s">
        <v>160</v>
      </c>
      <c r="K4" s="67" t="s">
        <v>1624</v>
      </c>
      <c r="L4" s="67" t="s">
        <v>160</v>
      </c>
      <c r="M4" s="131"/>
      <c r="O4" s="133" t="s">
        <v>1624</v>
      </c>
      <c r="P4" s="133" t="s">
        <v>160</v>
      </c>
      <c r="Q4" s="133" t="s">
        <v>1624</v>
      </c>
      <c r="R4" s="133" t="s">
        <v>160</v>
      </c>
      <c r="S4" s="133" t="s">
        <v>1624</v>
      </c>
      <c r="T4" s="133" t="s">
        <v>160</v>
      </c>
      <c r="U4" s="133" t="s">
        <v>1624</v>
      </c>
      <c r="V4" s="133" t="s">
        <v>160</v>
      </c>
      <c r="W4" s="141"/>
      <c r="X4" s="141"/>
    </row>
    <row r="5" s="62" customFormat="1" customHeight="1" spans="1:24">
      <c r="A5" s="67">
        <v>1</v>
      </c>
      <c r="B5" s="67" t="s">
        <v>1625</v>
      </c>
      <c r="C5" s="7">
        <v>42.5</v>
      </c>
      <c r="D5" s="7">
        <v>2</v>
      </c>
      <c r="E5" s="132">
        <f>0.208*1.1*1.07*0.86</f>
        <v>0.21054176</v>
      </c>
      <c r="F5" s="69">
        <f>E5*材料预算价!L5</f>
        <v>53.6881488</v>
      </c>
      <c r="G5" s="132">
        <f>0.55*1.1*0.98</f>
        <v>0.5929</v>
      </c>
      <c r="H5" s="69">
        <f>G5*材料预算价!L7</f>
        <v>41.503</v>
      </c>
      <c r="I5" s="132">
        <f>0.79*1.06*0.98</f>
        <v>0.820652</v>
      </c>
      <c r="J5" s="69">
        <f>I5*材料预算价!L8</f>
        <v>57.44564</v>
      </c>
      <c r="K5" s="132">
        <f>0.15*1.1*1.07</f>
        <v>0.17655</v>
      </c>
      <c r="L5" s="69">
        <f>K5*材料预算价!K13</f>
        <v>0.6338145</v>
      </c>
      <c r="M5" s="71">
        <f>L5+J5+H5+F5</f>
        <v>153.2706033</v>
      </c>
      <c r="O5" s="136">
        <f t="shared" ref="O5:O15" si="0">E5</f>
        <v>0.21054176</v>
      </c>
      <c r="P5" s="137">
        <f>O5*材料预算价!K5</f>
        <v>83.4986218516736</v>
      </c>
      <c r="Q5" s="138">
        <f>G5</f>
        <v>0.5929</v>
      </c>
      <c r="R5" s="137">
        <f>Q5*材料预算价!K7</f>
        <v>61.8786346024</v>
      </c>
      <c r="S5" s="138">
        <f>I5</f>
        <v>0.820652</v>
      </c>
      <c r="T5" s="137">
        <f>S5*材料预算价!K8</f>
        <v>81.35698553052</v>
      </c>
      <c r="U5" s="138">
        <f t="shared" ref="U5:U15" si="1">K5</f>
        <v>0.17655</v>
      </c>
      <c r="V5" s="137">
        <f>U5*材料预算价!K13</f>
        <v>0.6338145</v>
      </c>
      <c r="W5" s="142">
        <f>V5+T5+R5+P5</f>
        <v>227.368056484594</v>
      </c>
      <c r="X5" s="142">
        <f>W5-M5</f>
        <v>74.0974531845936</v>
      </c>
    </row>
    <row r="6" s="62" customFormat="1" customHeight="1" spans="1:24">
      <c r="A6" s="67">
        <v>2</v>
      </c>
      <c r="B6" s="67" t="s">
        <v>1626</v>
      </c>
      <c r="C6" s="7">
        <f>C5</f>
        <v>42.5</v>
      </c>
      <c r="D6" s="7">
        <v>2</v>
      </c>
      <c r="E6" s="132">
        <f>0.242*1.1*1.07*0.86</f>
        <v>0.24495724</v>
      </c>
      <c r="F6" s="69">
        <f>E6*材料预算价!L5</f>
        <v>62.4640962</v>
      </c>
      <c r="G6" s="132">
        <f>0.52*1.1*0.98</f>
        <v>0.56056</v>
      </c>
      <c r="H6" s="69">
        <f>G6*材料预算价!L7</f>
        <v>39.2392</v>
      </c>
      <c r="I6" s="132">
        <f t="shared" ref="I6:I11" si="2">0.81*1.06*0.98</f>
        <v>0.841428</v>
      </c>
      <c r="J6" s="69">
        <f>I6*材料预算价!L8</f>
        <v>58.89996</v>
      </c>
      <c r="K6" s="132">
        <f>0.15*1.1*1.07</f>
        <v>0.17655</v>
      </c>
      <c r="L6" s="69">
        <f>K6*材料预算价!K13</f>
        <v>0.6338145</v>
      </c>
      <c r="M6" s="71">
        <f t="shared" ref="M6:M15" si="3">L6+J6+H6+F6</f>
        <v>161.2370707</v>
      </c>
      <c r="O6" s="138">
        <f t="shared" si="0"/>
        <v>0.24495724</v>
      </c>
      <c r="P6" s="137">
        <f>O6*材料预算价!K5</f>
        <v>97.1474350389664</v>
      </c>
      <c r="Q6" s="138">
        <f>G6</f>
        <v>0.56056</v>
      </c>
      <c r="R6" s="137">
        <f>Q6*材料预算价!K7</f>
        <v>58.50343635136</v>
      </c>
      <c r="S6" s="138">
        <f>I6</f>
        <v>0.841428</v>
      </c>
      <c r="T6" s="137">
        <f>S6*材料预算价!K8</f>
        <v>83.41665605028</v>
      </c>
      <c r="U6" s="138">
        <f t="shared" si="1"/>
        <v>0.17655</v>
      </c>
      <c r="V6" s="137">
        <f>U6*材料预算价!K13</f>
        <v>0.6338145</v>
      </c>
      <c r="W6" s="142">
        <f t="shared" ref="W6:W15" si="4">V6+T6+R6+P6</f>
        <v>239.701341940606</v>
      </c>
      <c r="X6" s="142">
        <f t="shared" ref="X6:X15" si="5">W6-M6</f>
        <v>78.4642712406064</v>
      </c>
    </row>
    <row r="7" s="62" customFormat="1" customHeight="1" spans="1:24">
      <c r="A7" s="67">
        <v>3</v>
      </c>
      <c r="B7" s="67" t="s">
        <v>1626</v>
      </c>
      <c r="C7" s="7">
        <v>42.5</v>
      </c>
      <c r="D7" s="7">
        <v>1</v>
      </c>
      <c r="E7" s="132">
        <f>0.27*1.1*1.07*0.86</f>
        <v>0.2732994</v>
      </c>
      <c r="F7" s="69">
        <f>E7*材料预算价!L5</f>
        <v>69.691347</v>
      </c>
      <c r="G7" s="132">
        <f>0.57*1.1*0.98</f>
        <v>0.61446</v>
      </c>
      <c r="H7" s="69">
        <f>G7*材料预算价!L7</f>
        <v>43.0122</v>
      </c>
      <c r="I7" s="132">
        <f>0.7*1.06*0.98</f>
        <v>0.72716</v>
      </c>
      <c r="J7" s="69">
        <f>I7*材料预算价!L8</f>
        <v>50.9012</v>
      </c>
      <c r="K7" s="132">
        <f>0.17*1.1*1.07</f>
        <v>0.20009</v>
      </c>
      <c r="L7" s="69">
        <f>K7*材料预算价!K13</f>
        <v>0.7183231</v>
      </c>
      <c r="M7" s="71">
        <f t="shared" si="3"/>
        <v>164.3230701</v>
      </c>
      <c r="O7" s="138"/>
      <c r="P7" s="137"/>
      <c r="Q7" s="138"/>
      <c r="R7" s="137"/>
      <c r="S7" s="138"/>
      <c r="T7" s="137"/>
      <c r="U7" s="138"/>
      <c r="V7" s="137"/>
      <c r="W7" s="142"/>
      <c r="X7" s="142"/>
    </row>
    <row r="8" s="62" customFormat="1" customHeight="1" spans="1:24">
      <c r="A8" s="67">
        <v>4</v>
      </c>
      <c r="B8" s="67" t="s">
        <v>1627</v>
      </c>
      <c r="C8" s="7">
        <v>42.5</v>
      </c>
      <c r="D8" s="7">
        <v>2</v>
      </c>
      <c r="E8" s="132">
        <f>0.261*1.1*1.07</f>
        <v>0.307197</v>
      </c>
      <c r="F8" s="69">
        <f>E8*材料预算价!L5</f>
        <v>78.335235</v>
      </c>
      <c r="G8" s="132">
        <f>0.51*1.1*0.98</f>
        <v>0.54978</v>
      </c>
      <c r="H8" s="69">
        <f>G8*材料预算价!L7</f>
        <v>38.4846</v>
      </c>
      <c r="I8" s="132">
        <f t="shared" si="2"/>
        <v>0.841428</v>
      </c>
      <c r="J8" s="69">
        <f>I8*材料预算价!L8</f>
        <v>58.89996</v>
      </c>
      <c r="K8" s="132">
        <f>0.15*1.1*1.07</f>
        <v>0.17655</v>
      </c>
      <c r="L8" s="69">
        <f>K8*材料预算价!K13</f>
        <v>0.6338145</v>
      </c>
      <c r="M8" s="71">
        <f t="shared" si="3"/>
        <v>176.3536095</v>
      </c>
      <c r="O8" s="138">
        <f t="shared" si="0"/>
        <v>0.307197</v>
      </c>
      <c r="P8" s="137">
        <f>O8*材料预算价!K5</f>
        <v>121.83106162392</v>
      </c>
      <c r="Q8" s="138">
        <f>G8</f>
        <v>0.54978</v>
      </c>
      <c r="R8" s="137">
        <f>Q8*材料预算价!K7</f>
        <v>57.37837026768</v>
      </c>
      <c r="S8" s="138">
        <f>I8</f>
        <v>0.841428</v>
      </c>
      <c r="T8" s="137">
        <f>S8*材料预算价!K8</f>
        <v>83.41665605028</v>
      </c>
      <c r="U8" s="138">
        <f t="shared" si="1"/>
        <v>0.17655</v>
      </c>
      <c r="V8" s="137">
        <f>U8*材料预算价!K13</f>
        <v>0.6338145</v>
      </c>
      <c r="W8" s="142">
        <f t="shared" si="4"/>
        <v>263.25990244188</v>
      </c>
      <c r="X8" s="142">
        <f t="shared" si="5"/>
        <v>86.90629294188</v>
      </c>
    </row>
    <row r="9" s="62" customFormat="1" customHeight="1" spans="1:24">
      <c r="A9" s="67">
        <v>5</v>
      </c>
      <c r="B9" s="67" t="s">
        <v>1627</v>
      </c>
      <c r="C9" s="7">
        <v>42.5</v>
      </c>
      <c r="D9" s="7">
        <v>1</v>
      </c>
      <c r="E9" s="132">
        <f>0.294*1.1*1.07</f>
        <v>0.346038</v>
      </c>
      <c r="F9" s="69">
        <f>E9*材料预算价!L5</f>
        <v>88.23969</v>
      </c>
      <c r="G9" s="132">
        <f>0.56*1.1*0.98</f>
        <v>0.60368</v>
      </c>
      <c r="H9" s="69">
        <f>G9*材料预算价!L7</f>
        <v>42.2576</v>
      </c>
      <c r="I9" s="132">
        <f>0.71*1.06*0.98</f>
        <v>0.737548</v>
      </c>
      <c r="J9" s="69">
        <f>I9*材料预算价!L8</f>
        <v>51.62836</v>
      </c>
      <c r="K9" s="132">
        <f>0.17*1.1*1.07</f>
        <v>0.20009</v>
      </c>
      <c r="L9" s="69">
        <f>K9*材料预算价!K13</f>
        <v>0.7183231</v>
      </c>
      <c r="M9" s="71">
        <f t="shared" si="3"/>
        <v>182.8439731</v>
      </c>
      <c r="O9" s="138"/>
      <c r="P9" s="137"/>
      <c r="Q9" s="138"/>
      <c r="R9" s="137"/>
      <c r="S9" s="138"/>
      <c r="T9" s="137"/>
      <c r="U9" s="138"/>
      <c r="V9" s="137"/>
      <c r="W9" s="142"/>
      <c r="X9" s="142"/>
    </row>
    <row r="10" s="62" customFormat="1" customHeight="1" spans="1:24">
      <c r="A10" s="67">
        <v>6</v>
      </c>
      <c r="B10" s="67" t="s">
        <v>1628</v>
      </c>
      <c r="C10" s="7">
        <v>42.5</v>
      </c>
      <c r="D10" s="7">
        <v>2</v>
      </c>
      <c r="E10" s="132">
        <f>0.289*1.1*1.07</f>
        <v>0.340153</v>
      </c>
      <c r="F10" s="69">
        <f>E10*材料预算价!L5</f>
        <v>86.739015</v>
      </c>
      <c r="G10" s="132">
        <f>0.49*1.1*0.98</f>
        <v>0.52822</v>
      </c>
      <c r="H10" s="69">
        <f>G10*材料预算价!L7</f>
        <v>36.9754</v>
      </c>
      <c r="I10" s="132">
        <f t="shared" si="2"/>
        <v>0.841428</v>
      </c>
      <c r="J10" s="69">
        <f>I10*材料预算价!L8</f>
        <v>58.89996</v>
      </c>
      <c r="K10" s="132">
        <f>0.15*1.1*1.07</f>
        <v>0.17655</v>
      </c>
      <c r="L10" s="69">
        <f>K10*材料预算价!K13</f>
        <v>0.6338145</v>
      </c>
      <c r="M10" s="71">
        <f t="shared" si="3"/>
        <v>183.2481895</v>
      </c>
      <c r="O10" s="138">
        <f t="shared" si="0"/>
        <v>0.340153</v>
      </c>
      <c r="P10" s="137">
        <f>O10*材料预算价!K5</f>
        <v>134.90106057208</v>
      </c>
      <c r="Q10" s="138">
        <f>G10</f>
        <v>0.52822</v>
      </c>
      <c r="R10" s="137">
        <f>Q10*材料预算价!K7</f>
        <v>55.12823810032</v>
      </c>
      <c r="S10" s="138">
        <f>I10</f>
        <v>0.841428</v>
      </c>
      <c r="T10" s="137">
        <f>S10*材料预算价!K8</f>
        <v>83.41665605028</v>
      </c>
      <c r="U10" s="138">
        <f t="shared" si="1"/>
        <v>0.17655</v>
      </c>
      <c r="V10" s="137">
        <f>U10*材料预算价!K13</f>
        <v>0.6338145</v>
      </c>
      <c r="W10" s="142">
        <f t="shared" si="4"/>
        <v>274.07976922268</v>
      </c>
      <c r="X10" s="142">
        <f>W10-M10</f>
        <v>90.8315797226799</v>
      </c>
    </row>
    <row r="11" s="62" customFormat="1" customHeight="1" spans="1:24">
      <c r="A11" s="67">
        <v>7</v>
      </c>
      <c r="B11" s="67" t="s">
        <v>1629</v>
      </c>
      <c r="C11" s="7">
        <v>42.5</v>
      </c>
      <c r="D11" s="7">
        <v>2</v>
      </c>
      <c r="E11" s="132">
        <f>0.31*1.1*1.07</f>
        <v>0.36487</v>
      </c>
      <c r="F11" s="69">
        <f>E11*材料预算价!L5</f>
        <v>93.04185</v>
      </c>
      <c r="G11" s="132">
        <f>0.47*1.1*0.98</f>
        <v>0.50666</v>
      </c>
      <c r="H11" s="69">
        <f>G11*材料预算价!L7</f>
        <v>35.4662</v>
      </c>
      <c r="I11" s="132">
        <f t="shared" si="2"/>
        <v>0.841428</v>
      </c>
      <c r="J11" s="69">
        <f>I11*材料预算价!L8</f>
        <v>58.89996</v>
      </c>
      <c r="K11" s="132">
        <f>0.15*1.1*1.07</f>
        <v>0.17655</v>
      </c>
      <c r="L11" s="69">
        <f>K11*材料预算价!K13</f>
        <v>0.6338145</v>
      </c>
      <c r="M11" s="71">
        <f t="shared" si="3"/>
        <v>188.0418245</v>
      </c>
      <c r="O11" s="138">
        <f t="shared" si="0"/>
        <v>0.36487</v>
      </c>
      <c r="P11" s="137">
        <f>O11*材料预算价!K5</f>
        <v>144.7035597832</v>
      </c>
      <c r="Q11" s="138">
        <f>G11</f>
        <v>0.50666</v>
      </c>
      <c r="R11" s="137">
        <f>Q11*材料预算价!K7</f>
        <v>52.87810593296</v>
      </c>
      <c r="S11" s="138">
        <f>I11</f>
        <v>0.841428</v>
      </c>
      <c r="T11" s="137">
        <f>S11*材料预算价!K8</f>
        <v>83.41665605028</v>
      </c>
      <c r="U11" s="138">
        <f t="shared" si="1"/>
        <v>0.17655</v>
      </c>
      <c r="V11" s="137">
        <f>U11*材料预算价!K13</f>
        <v>0.6338145</v>
      </c>
      <c r="W11" s="142">
        <f t="shared" si="4"/>
        <v>281.63213626644</v>
      </c>
      <c r="X11" s="142">
        <f t="shared" si="5"/>
        <v>93.59031176644</v>
      </c>
    </row>
    <row r="12" s="62" customFormat="1" customHeight="1" spans="1:24">
      <c r="A12" s="67">
        <v>8</v>
      </c>
      <c r="B12" s="67" t="s">
        <v>1630</v>
      </c>
      <c r="C12" s="7">
        <v>42.5</v>
      </c>
      <c r="D12" s="7">
        <v>2</v>
      </c>
      <c r="E12" s="132">
        <f>0.384*1.1*1.07</f>
        <v>0.451968</v>
      </c>
      <c r="F12" s="69">
        <f>E12*材料预算价!L5</f>
        <v>115.25184</v>
      </c>
      <c r="G12" s="132">
        <f>0.46*1.1*0.98</f>
        <v>0.49588</v>
      </c>
      <c r="H12" s="69">
        <f>G12*材料预算价!L7</f>
        <v>34.7116</v>
      </c>
      <c r="I12" s="132">
        <f>0.79*1.06*0.98</f>
        <v>0.820652</v>
      </c>
      <c r="J12" s="69">
        <f>I12*材料预算价!L8</f>
        <v>57.44564</v>
      </c>
      <c r="K12" s="132">
        <f>0.15*1.1*1.07</f>
        <v>0.17655</v>
      </c>
      <c r="L12" s="69">
        <f>K12*材料预算价!K13</f>
        <v>0.6338145</v>
      </c>
      <c r="M12" s="71">
        <f t="shared" si="3"/>
        <v>208.0428945</v>
      </c>
      <c r="O12" s="138"/>
      <c r="P12" s="137"/>
      <c r="Q12" s="138"/>
      <c r="R12" s="137"/>
      <c r="S12" s="138"/>
      <c r="T12" s="137"/>
      <c r="U12" s="138"/>
      <c r="V12" s="137"/>
      <c r="W12" s="142"/>
      <c r="X12" s="142"/>
    </row>
    <row r="13" s="62" customFormat="1" customHeight="1" spans="1:24">
      <c r="A13" s="67">
        <v>9</v>
      </c>
      <c r="B13" s="67" t="s">
        <v>1305</v>
      </c>
      <c r="C13" s="7">
        <f>C12</f>
        <v>42.5</v>
      </c>
      <c r="D13" s="7"/>
      <c r="E13" s="132">
        <f>0.211*0.86</f>
        <v>0.18146</v>
      </c>
      <c r="F13" s="69">
        <f>E13*材料预算价!L5</f>
        <v>46.2723</v>
      </c>
      <c r="G13" s="7">
        <v>1.13</v>
      </c>
      <c r="H13" s="69">
        <f>G13*材料预算价!L7</f>
        <v>79.1</v>
      </c>
      <c r="I13" s="7"/>
      <c r="J13" s="7"/>
      <c r="K13" s="7">
        <v>0.127</v>
      </c>
      <c r="L13" s="69">
        <f>K13*材料预算价!K13</f>
        <v>0.45593</v>
      </c>
      <c r="M13" s="71">
        <f t="shared" si="3"/>
        <v>125.82823</v>
      </c>
      <c r="O13" s="133">
        <f t="shared" si="0"/>
        <v>0.18146</v>
      </c>
      <c r="P13" s="137">
        <f>O13*材料预算价!K5</f>
        <v>71.9651052656</v>
      </c>
      <c r="Q13" s="133">
        <v>1.13</v>
      </c>
      <c r="R13" s="137">
        <f>Q13*材料预算价!K7</f>
        <v>117.93364328</v>
      </c>
      <c r="S13" s="133"/>
      <c r="T13" s="133"/>
      <c r="U13" s="133">
        <f t="shared" si="1"/>
        <v>0.127</v>
      </c>
      <c r="V13" s="137">
        <f>U13*材料预算价!K13</f>
        <v>0.45593</v>
      </c>
      <c r="W13" s="142">
        <f t="shared" si="4"/>
        <v>190.3546785456</v>
      </c>
      <c r="X13" s="142">
        <f t="shared" si="5"/>
        <v>64.5264485456</v>
      </c>
    </row>
    <row r="14" s="62" customFormat="1" customHeight="1" spans="1:24">
      <c r="A14" s="67">
        <v>10</v>
      </c>
      <c r="B14" s="67" t="s">
        <v>1631</v>
      </c>
      <c r="C14" s="7">
        <f>C13</f>
        <v>42.5</v>
      </c>
      <c r="D14" s="7"/>
      <c r="E14" s="132">
        <f>0.261*0.86</f>
        <v>0.22446</v>
      </c>
      <c r="F14" s="69">
        <f>E14*材料预算价!L5</f>
        <v>57.2373</v>
      </c>
      <c r="G14" s="7">
        <v>1.11</v>
      </c>
      <c r="H14" s="69">
        <f>G14*材料预算价!L7</f>
        <v>77.7</v>
      </c>
      <c r="I14" s="7"/>
      <c r="J14" s="7"/>
      <c r="K14" s="7">
        <v>0.157</v>
      </c>
      <c r="L14" s="69">
        <f>K14*材料预算价!K13</f>
        <v>0.56363</v>
      </c>
      <c r="M14" s="71">
        <f t="shared" si="3"/>
        <v>135.50093</v>
      </c>
      <c r="O14" s="133">
        <f t="shared" si="0"/>
        <v>0.22446</v>
      </c>
      <c r="P14" s="137">
        <f>O14*材料预算价!K5</f>
        <v>89.0184477456</v>
      </c>
      <c r="Q14" s="133">
        <v>1.11</v>
      </c>
      <c r="R14" s="137">
        <f>Q14*材料预算价!K7</f>
        <v>115.84632216</v>
      </c>
      <c r="S14" s="133"/>
      <c r="T14" s="133"/>
      <c r="U14" s="133">
        <f t="shared" si="1"/>
        <v>0.157</v>
      </c>
      <c r="V14" s="137">
        <f>U14*材料预算价!K13</f>
        <v>0.56363</v>
      </c>
      <c r="W14" s="142">
        <f t="shared" si="4"/>
        <v>205.4283999056</v>
      </c>
      <c r="X14" s="142">
        <f t="shared" si="5"/>
        <v>69.9274699056</v>
      </c>
    </row>
    <row r="15" s="62" customFormat="1" customHeight="1" spans="1:24">
      <c r="A15" s="67">
        <v>11</v>
      </c>
      <c r="B15" s="67" t="s">
        <v>1632</v>
      </c>
      <c r="C15" s="7">
        <f>C14</f>
        <v>42.5</v>
      </c>
      <c r="D15" s="7"/>
      <c r="E15" s="132">
        <f>0.305*0.86</f>
        <v>0.2623</v>
      </c>
      <c r="F15" s="69">
        <f>E15*材料预算价!L5</f>
        <v>66.8865</v>
      </c>
      <c r="G15" s="7">
        <v>1.1</v>
      </c>
      <c r="H15" s="69">
        <f>G15*材料预算价!L7</f>
        <v>77</v>
      </c>
      <c r="I15" s="7"/>
      <c r="J15" s="7"/>
      <c r="K15" s="7">
        <v>0.183</v>
      </c>
      <c r="L15" s="69">
        <f>K15*材料预算价!K13</f>
        <v>0.65697</v>
      </c>
      <c r="M15" s="71">
        <f t="shared" si="3"/>
        <v>144.54347</v>
      </c>
      <c r="O15" s="133">
        <f t="shared" si="0"/>
        <v>0.2623</v>
      </c>
      <c r="P15" s="137">
        <f>O15*材料预算价!K5</f>
        <v>104.025389128</v>
      </c>
      <c r="Q15" s="133">
        <v>1.1</v>
      </c>
      <c r="R15" s="137">
        <f>Q15*材料预算价!K7</f>
        <v>114.8026616</v>
      </c>
      <c r="S15" s="133"/>
      <c r="T15" s="133"/>
      <c r="U15" s="133">
        <f t="shared" si="1"/>
        <v>0.183</v>
      </c>
      <c r="V15" s="137">
        <f>U15*材料预算价!K13</f>
        <v>0.65697</v>
      </c>
      <c r="W15" s="142">
        <f t="shared" si="4"/>
        <v>219.485020728</v>
      </c>
      <c r="X15" s="142">
        <f t="shared" si="5"/>
        <v>74.941550728</v>
      </c>
    </row>
    <row r="16" s="62" customFormat="1" customHeight="1" spans="1:13">
      <c r="A16" s="67"/>
      <c r="B16" s="67"/>
      <c r="C16" s="67"/>
      <c r="D16" s="67"/>
      <c r="E16" s="67"/>
      <c r="F16" s="7"/>
      <c r="G16" s="7"/>
      <c r="H16" s="7"/>
      <c r="I16" s="7"/>
      <c r="J16" s="7"/>
      <c r="K16" s="7"/>
      <c r="L16" s="7"/>
      <c r="M16" s="67"/>
    </row>
    <row r="17" s="62" customFormat="1" customHeight="1" spans="1:16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P17" s="139"/>
    </row>
    <row r="18" s="62" customFormat="1" customHeight="1" spans="1:13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</row>
    <row r="19" s="62" customFormat="1" customHeight="1" spans="1:13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</row>
    <row r="20" s="62" customFormat="1" customHeight="1" spans="1:13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</row>
  </sheetData>
  <sheetProtection formatCells="0" insertHyperlinks="0" autoFilter="0"/>
  <mergeCells count="17">
    <mergeCell ref="O2:X2"/>
    <mergeCell ref="E3:F3"/>
    <mergeCell ref="G3:H3"/>
    <mergeCell ref="I3:J3"/>
    <mergeCell ref="K3:L3"/>
    <mergeCell ref="O3:P3"/>
    <mergeCell ref="Q3:R3"/>
    <mergeCell ref="S3:T3"/>
    <mergeCell ref="U3:V3"/>
    <mergeCell ref="A3:A4"/>
    <mergeCell ref="B3:B4"/>
    <mergeCell ref="C3:C4"/>
    <mergeCell ref="D3:D4"/>
    <mergeCell ref="M3:M4"/>
    <mergeCell ref="W3:W4"/>
    <mergeCell ref="X3:X4"/>
    <mergeCell ref="A1:M2"/>
  </mergeCells>
  <pageMargins left="0.75" right="0.75" top="1" bottom="1" header="0.5" footer="0.5"/>
  <pageSetup paperSize="9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tabColor theme="0"/>
  </sheetPr>
  <dimension ref="A1:Q29"/>
  <sheetViews>
    <sheetView workbookViewId="0">
      <selection activeCell="K4608" sqref="K4608"/>
    </sheetView>
  </sheetViews>
  <sheetFormatPr defaultColWidth="9" defaultRowHeight="30" customHeight="1"/>
  <cols>
    <col min="1" max="1" width="12.375" style="1" customWidth="1"/>
    <col min="2" max="2" width="18.125" style="1" customWidth="1"/>
    <col min="3" max="3" width="7.375" style="1" customWidth="1"/>
    <col min="4" max="4" width="10.125" style="1" customWidth="1"/>
    <col min="5" max="5" width="6.75" style="1" customWidth="1"/>
    <col min="6" max="10" width="9" style="1"/>
    <col min="11" max="11" width="9.125" style="1" customWidth="1"/>
    <col min="12" max="12" width="9" style="1" customWidth="1"/>
    <col min="13" max="13" width="9" style="1"/>
    <col min="14" max="14" width="10.5" style="1" customWidth="1"/>
    <col min="15" max="16384" width="9" style="1"/>
  </cols>
  <sheetData>
    <row r="1" ht="17.1" customHeight="1" spans="1:12">
      <c r="A1" s="111" t="s">
        <v>1633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ht="17.1" customHeight="1" spans="1:10">
      <c r="A2" s="112" t="s">
        <v>1634</v>
      </c>
      <c r="B2" s="112"/>
      <c r="C2" s="113" t="s">
        <v>1635</v>
      </c>
      <c r="D2" s="114"/>
      <c r="E2" s="114"/>
      <c r="F2" s="114"/>
      <c r="G2" s="114"/>
      <c r="H2" s="114"/>
      <c r="I2" s="114"/>
      <c r="J2" s="114"/>
    </row>
    <row r="3" ht="17.1" customHeight="1" spans="1:12">
      <c r="A3" s="7" t="s">
        <v>1636</v>
      </c>
      <c r="B3" s="7" t="s">
        <v>1637</v>
      </c>
      <c r="C3" s="7" t="s">
        <v>159</v>
      </c>
      <c r="D3" s="7" t="s">
        <v>1638</v>
      </c>
      <c r="E3" s="7" t="s">
        <v>1639</v>
      </c>
      <c r="F3" s="7" t="s">
        <v>1640</v>
      </c>
      <c r="G3" s="7" t="s">
        <v>1641</v>
      </c>
      <c r="H3" s="7" t="s">
        <v>1642</v>
      </c>
      <c r="I3" s="7" t="s">
        <v>1643</v>
      </c>
      <c r="J3" s="7" t="s">
        <v>1644</v>
      </c>
      <c r="K3" s="7" t="s">
        <v>1645</v>
      </c>
      <c r="L3" s="7" t="s">
        <v>1646</v>
      </c>
    </row>
    <row r="4" ht="17.1" customHeight="1" spans="1:14">
      <c r="A4" s="7" t="s">
        <v>1135</v>
      </c>
      <c r="B4" s="7" t="s">
        <v>1647</v>
      </c>
      <c r="C4" s="9" t="s">
        <v>200</v>
      </c>
      <c r="D4" s="115">
        <f>4085.75*0.45+3931.7*0.55</f>
        <v>4001.0225</v>
      </c>
      <c r="E4" s="7" t="s">
        <v>1648</v>
      </c>
      <c r="F4" s="70">
        <v>43</v>
      </c>
      <c r="G4" s="7">
        <v>0.52</v>
      </c>
      <c r="H4" s="69">
        <f t="shared" ref="H4:H10" si="0">G4*F4</f>
        <v>22.36</v>
      </c>
      <c r="I4" s="38">
        <v>5.5</v>
      </c>
      <c r="J4" s="69">
        <f>(I4+H4+D4)*0.02*1.1</f>
        <v>88.635415</v>
      </c>
      <c r="K4" s="69">
        <f t="shared" ref="K4:K10" si="1">J4+I4+H4+D4</f>
        <v>4117.517915</v>
      </c>
      <c r="L4" s="7">
        <v>2560</v>
      </c>
      <c r="N4" s="124">
        <f>K4-L4</f>
        <v>1557.517915</v>
      </c>
    </row>
    <row r="5" ht="17.1" customHeight="1" spans="1:14">
      <c r="A5" s="7" t="s">
        <v>1649</v>
      </c>
      <c r="B5" s="7" t="s">
        <v>1650</v>
      </c>
      <c r="C5" s="9" t="s">
        <v>200</v>
      </c>
      <c r="D5" s="69">
        <v>353.98</v>
      </c>
      <c r="E5" s="7" t="s">
        <v>1648</v>
      </c>
      <c r="F5" s="70">
        <v>47</v>
      </c>
      <c r="G5" s="7">
        <v>0.52</v>
      </c>
      <c r="H5" s="69">
        <f t="shared" si="0"/>
        <v>24.44</v>
      </c>
      <c r="I5" s="38">
        <v>5.5</v>
      </c>
      <c r="J5" s="69">
        <f t="shared" ref="J5:J9" si="2">(I5+H5+D5)*0.03*1.1</f>
        <v>12.66936</v>
      </c>
      <c r="K5" s="69">
        <f t="shared" si="1"/>
        <v>396.58936</v>
      </c>
      <c r="L5" s="7">
        <v>255</v>
      </c>
      <c r="N5" s="124">
        <f t="shared" ref="N5:N12" si="3">K5-L5</f>
        <v>141.58936</v>
      </c>
    </row>
    <row r="6" ht="17.1" customHeight="1" spans="1:14">
      <c r="A6" s="7" t="s">
        <v>983</v>
      </c>
      <c r="B6" s="7" t="s">
        <v>1651</v>
      </c>
      <c r="C6" s="9" t="s">
        <v>200</v>
      </c>
      <c r="D6" s="69">
        <v>442.48</v>
      </c>
      <c r="E6" s="7" t="s">
        <v>1648</v>
      </c>
      <c r="F6" s="70">
        <v>107</v>
      </c>
      <c r="G6" s="7">
        <f>G5</f>
        <v>0.52</v>
      </c>
      <c r="H6" s="69">
        <f t="shared" si="0"/>
        <v>55.64</v>
      </c>
      <c r="I6" s="38">
        <f>I5</f>
        <v>5.5</v>
      </c>
      <c r="J6" s="69">
        <f t="shared" si="2"/>
        <v>16.61946</v>
      </c>
      <c r="K6" s="69">
        <f t="shared" si="1"/>
        <v>520.23946</v>
      </c>
      <c r="L6" s="7">
        <v>255</v>
      </c>
      <c r="N6" s="124"/>
    </row>
    <row r="7" ht="17.1" customHeight="1" spans="1:17">
      <c r="A7" s="7" t="s">
        <v>1652</v>
      </c>
      <c r="B7" s="7" t="s">
        <v>1653</v>
      </c>
      <c r="C7" s="9" t="s">
        <v>776</v>
      </c>
      <c r="D7" s="69">
        <v>67.96</v>
      </c>
      <c r="E7" s="7" t="s">
        <v>1648</v>
      </c>
      <c r="F7" s="70">
        <v>40</v>
      </c>
      <c r="G7" s="116">
        <f>0.48*1.56</f>
        <v>0.7488</v>
      </c>
      <c r="H7" s="69">
        <f t="shared" si="0"/>
        <v>29.952</v>
      </c>
      <c r="I7" s="38">
        <f>2*1.56</f>
        <v>3.12</v>
      </c>
      <c r="J7" s="69">
        <f t="shared" si="2"/>
        <v>3.334056</v>
      </c>
      <c r="K7" s="69">
        <f t="shared" si="1"/>
        <v>104.366056</v>
      </c>
      <c r="L7" s="7">
        <v>70</v>
      </c>
      <c r="N7" s="124">
        <f t="shared" si="3"/>
        <v>34.366056</v>
      </c>
      <c r="P7" s="1">
        <f>105-15</f>
        <v>90</v>
      </c>
      <c r="Q7" s="1">
        <f>(P7+P8)/2</f>
        <v>105</v>
      </c>
    </row>
    <row r="8" ht="17.1" customHeight="1" spans="1:16">
      <c r="A8" s="7" t="s">
        <v>1012</v>
      </c>
      <c r="B8" s="7" t="s">
        <v>1653</v>
      </c>
      <c r="C8" s="9" t="s">
        <v>776</v>
      </c>
      <c r="D8" s="69">
        <v>63.11</v>
      </c>
      <c r="E8" s="7" t="s">
        <v>1648</v>
      </c>
      <c r="F8" s="70">
        <f>F7</f>
        <v>40</v>
      </c>
      <c r="G8" s="69">
        <f>0.48*1.55</f>
        <v>0.744</v>
      </c>
      <c r="H8" s="69">
        <f t="shared" si="0"/>
        <v>29.76</v>
      </c>
      <c r="I8" s="38">
        <f>2*1.55</f>
        <v>3.1</v>
      </c>
      <c r="J8" s="69">
        <f t="shared" si="2"/>
        <v>3.16701</v>
      </c>
      <c r="K8" s="69">
        <f t="shared" si="1"/>
        <v>99.13701</v>
      </c>
      <c r="L8" s="7">
        <f>L7</f>
        <v>70</v>
      </c>
      <c r="N8" s="124">
        <f t="shared" si="3"/>
        <v>29.13701</v>
      </c>
      <c r="P8" s="1">
        <f>105+15</f>
        <v>120</v>
      </c>
    </row>
    <row r="9" ht="17.1" customHeight="1" spans="1:14">
      <c r="A9" s="7" t="s">
        <v>966</v>
      </c>
      <c r="B9" s="7" t="s">
        <v>1654</v>
      </c>
      <c r="C9" s="9" t="s">
        <v>776</v>
      </c>
      <c r="D9" s="117">
        <f>60/1.03</f>
        <v>58.252427184466</v>
      </c>
      <c r="E9" s="7" t="s">
        <v>1648</v>
      </c>
      <c r="F9" s="70">
        <v>47</v>
      </c>
      <c r="G9" s="69">
        <f>0.48*1.8</f>
        <v>0.864</v>
      </c>
      <c r="H9" s="69">
        <f t="shared" si="0"/>
        <v>40.608</v>
      </c>
      <c r="I9" s="38">
        <f>2*1.8</f>
        <v>3.6</v>
      </c>
      <c r="J9" s="69">
        <f t="shared" si="2"/>
        <v>3.38119409708738</v>
      </c>
      <c r="K9" s="69">
        <f t="shared" si="1"/>
        <v>105.841621281553</v>
      </c>
      <c r="L9" s="7">
        <f>L8</f>
        <v>70</v>
      </c>
      <c r="N9" s="124">
        <f t="shared" si="3"/>
        <v>35.8416212815534</v>
      </c>
    </row>
    <row r="10" ht="17.1" customHeight="1" spans="1:14">
      <c r="A10" s="7" t="s">
        <v>1655</v>
      </c>
      <c r="B10" s="7" t="s">
        <v>1647</v>
      </c>
      <c r="C10" s="9" t="s">
        <v>776</v>
      </c>
      <c r="D10" s="7">
        <v>2150.25</v>
      </c>
      <c r="E10" s="7" t="s">
        <v>1648</v>
      </c>
      <c r="F10" s="70">
        <f t="shared" ref="F10:I10" si="4">F4</f>
        <v>43</v>
      </c>
      <c r="G10" s="7">
        <f t="shared" si="4"/>
        <v>0.52</v>
      </c>
      <c r="H10" s="69">
        <f t="shared" si="0"/>
        <v>22.36</v>
      </c>
      <c r="I10" s="38">
        <f t="shared" si="4"/>
        <v>5.5</v>
      </c>
      <c r="J10" s="69">
        <f>(I10+H10+D10)*0.025*1.1</f>
        <v>59.898025</v>
      </c>
      <c r="K10" s="69">
        <f t="shared" si="1"/>
        <v>2238.008025</v>
      </c>
      <c r="L10" s="7"/>
      <c r="N10" s="124">
        <f t="shared" si="3"/>
        <v>2238.008025</v>
      </c>
    </row>
    <row r="11" ht="17.1" customHeight="1" spans="1:14">
      <c r="A11" s="7" t="s">
        <v>928</v>
      </c>
      <c r="B11" s="7" t="s">
        <v>1656</v>
      </c>
      <c r="C11" s="9" t="s">
        <v>200</v>
      </c>
      <c r="D11" s="7"/>
      <c r="E11" s="7" t="s">
        <v>1648</v>
      </c>
      <c r="F11" s="7"/>
      <c r="G11" s="7"/>
      <c r="H11" s="69"/>
      <c r="I11" s="7"/>
      <c r="J11" s="69"/>
      <c r="K11" s="125">
        <v>7.57</v>
      </c>
      <c r="L11" s="7">
        <v>2.99</v>
      </c>
      <c r="N11" s="124">
        <f t="shared" si="3"/>
        <v>4.58</v>
      </c>
    </row>
    <row r="12" ht="17.1" customHeight="1" spans="1:14">
      <c r="A12" s="7" t="s">
        <v>1269</v>
      </c>
      <c r="B12" s="7" t="s">
        <v>1656</v>
      </c>
      <c r="C12" s="9" t="s">
        <v>200</v>
      </c>
      <c r="D12" s="7"/>
      <c r="E12" s="7" t="s">
        <v>1648</v>
      </c>
      <c r="F12" s="7"/>
      <c r="G12" s="7"/>
      <c r="H12" s="69"/>
      <c r="I12" s="7"/>
      <c r="J12" s="69"/>
      <c r="K12" s="125">
        <v>9</v>
      </c>
      <c r="L12" s="7">
        <v>3.075</v>
      </c>
      <c r="M12" s="126"/>
      <c r="N12" s="124">
        <f t="shared" si="3"/>
        <v>5.925</v>
      </c>
    </row>
    <row r="13" ht="17.1" customHeight="1" spans="1:16">
      <c r="A13" s="7" t="s">
        <v>913</v>
      </c>
      <c r="B13" s="7" t="s">
        <v>1656</v>
      </c>
      <c r="C13" s="9" t="s">
        <v>776</v>
      </c>
      <c r="D13" s="118"/>
      <c r="E13" s="7"/>
      <c r="F13" s="7"/>
      <c r="G13" s="7"/>
      <c r="H13" s="69"/>
      <c r="I13" s="7"/>
      <c r="J13" s="69"/>
      <c r="K13" s="116">
        <v>3.59</v>
      </c>
      <c r="L13" s="7"/>
      <c r="P13" s="1">
        <f>13*1.8</f>
        <v>23.4</v>
      </c>
    </row>
    <row r="14" ht="17.1" customHeight="1" spans="1:14">
      <c r="A14" s="7" t="s">
        <v>374</v>
      </c>
      <c r="B14" s="7" t="s">
        <v>1653</v>
      </c>
      <c r="C14" s="9" t="s">
        <v>776</v>
      </c>
      <c r="D14" s="69">
        <f>30/(1+3%)</f>
        <v>29.126213592233</v>
      </c>
      <c r="E14" s="7" t="s">
        <v>1648</v>
      </c>
      <c r="F14" s="70">
        <f>F8</f>
        <v>40</v>
      </c>
      <c r="G14" s="69">
        <f>0.48*1.65</f>
        <v>0.792</v>
      </c>
      <c r="H14" s="69">
        <f>G14*F14</f>
        <v>31.68</v>
      </c>
      <c r="I14" s="38">
        <f>2*1.65</f>
        <v>3.3</v>
      </c>
      <c r="J14" s="69">
        <f>(I14+H14+D14)*0.03*1.1</f>
        <v>2.11550504854369</v>
      </c>
      <c r="K14" s="69">
        <f>J14+I14+H14+D14</f>
        <v>66.2217186407767</v>
      </c>
      <c r="L14" s="7"/>
      <c r="N14" s="1">
        <v>70</v>
      </c>
    </row>
    <row r="15" ht="17.1" customHeight="1" spans="1:12">
      <c r="A15" s="7" t="s">
        <v>1317</v>
      </c>
      <c r="B15" s="7" t="s">
        <v>1657</v>
      </c>
      <c r="C15" s="9" t="s">
        <v>776</v>
      </c>
      <c r="D15" s="69">
        <f>20*1.8</f>
        <v>36</v>
      </c>
      <c r="E15" s="7" t="s">
        <v>1648</v>
      </c>
      <c r="F15" s="70">
        <f>F8</f>
        <v>40</v>
      </c>
      <c r="G15" s="69">
        <f>0.48*1.65</f>
        <v>0.792</v>
      </c>
      <c r="H15" s="69">
        <f>G15*F15</f>
        <v>31.68</v>
      </c>
      <c r="I15" s="38">
        <f>2*1.65</f>
        <v>3.3</v>
      </c>
      <c r="J15" s="69">
        <f>(I15+H15+D15)*0.03*1.1</f>
        <v>2.34234</v>
      </c>
      <c r="K15" s="69">
        <f>J15+I15+H15+D15</f>
        <v>73.32234</v>
      </c>
      <c r="L15" s="7"/>
    </row>
    <row r="16" ht="17.1" hidden="1" customHeight="1" spans="1:12">
      <c r="A16" s="7" t="s">
        <v>1658</v>
      </c>
      <c r="B16" s="7"/>
      <c r="C16" s="9" t="s">
        <v>776</v>
      </c>
      <c r="D16" s="7"/>
      <c r="E16" s="7" t="s">
        <v>1648</v>
      </c>
      <c r="F16" s="70">
        <v>25</v>
      </c>
      <c r="G16" s="69">
        <f>0.48*1.55</f>
        <v>0.744</v>
      </c>
      <c r="H16" s="69">
        <f t="shared" ref="H16:H21" si="5">G16*F16</f>
        <v>18.6</v>
      </c>
      <c r="I16" s="38"/>
      <c r="J16" s="69"/>
      <c r="K16" s="69">
        <f t="shared" ref="K16:K21" si="6">H16</f>
        <v>18.6</v>
      </c>
      <c r="L16" s="7"/>
    </row>
    <row r="17" ht="17.1" hidden="1" customHeight="1" spans="1:12">
      <c r="A17" s="7" t="s">
        <v>1658</v>
      </c>
      <c r="B17" s="7"/>
      <c r="C17" s="9" t="s">
        <v>776</v>
      </c>
      <c r="D17" s="7"/>
      <c r="E17" s="7" t="s">
        <v>1648</v>
      </c>
      <c r="F17" s="70">
        <v>29</v>
      </c>
      <c r="G17" s="69">
        <f>0.48*1.55</f>
        <v>0.744</v>
      </c>
      <c r="H17" s="69">
        <f t="shared" si="5"/>
        <v>21.576</v>
      </c>
      <c r="I17" s="38"/>
      <c r="J17" s="69"/>
      <c r="K17" s="69">
        <f t="shared" si="6"/>
        <v>21.576</v>
      </c>
      <c r="L17" s="7"/>
    </row>
    <row r="18" ht="17.1" hidden="1" customHeight="1" spans="1:12">
      <c r="A18" s="119" t="s">
        <v>1658</v>
      </c>
      <c r="B18" s="119"/>
      <c r="C18" s="120" t="s">
        <v>776</v>
      </c>
      <c r="D18" s="119"/>
      <c r="E18" s="119" t="s">
        <v>1648</v>
      </c>
      <c r="F18" s="121">
        <v>5</v>
      </c>
      <c r="G18" s="122">
        <f>1.09*1.55</f>
        <v>1.6895</v>
      </c>
      <c r="H18" s="122">
        <f t="shared" si="5"/>
        <v>8.4475</v>
      </c>
      <c r="I18" s="127"/>
      <c r="J18" s="122"/>
      <c r="K18" s="122">
        <f t="shared" si="6"/>
        <v>8.4475</v>
      </c>
      <c r="L18" s="119"/>
    </row>
    <row r="19" ht="17.1" hidden="1" customHeight="1" spans="1:12">
      <c r="A19" s="7" t="s">
        <v>1658</v>
      </c>
      <c r="B19" s="7"/>
      <c r="C19" s="9" t="s">
        <v>776</v>
      </c>
      <c r="D19" s="7"/>
      <c r="E19" s="7" t="s">
        <v>1648</v>
      </c>
      <c r="F19" s="70">
        <v>10</v>
      </c>
      <c r="G19" s="69">
        <f>0.77*1.55</f>
        <v>1.1935</v>
      </c>
      <c r="H19" s="69">
        <f t="shared" si="5"/>
        <v>11.935</v>
      </c>
      <c r="I19" s="38"/>
      <c r="J19" s="69"/>
      <c r="K19" s="69">
        <f t="shared" si="6"/>
        <v>11.935</v>
      </c>
      <c r="L19" s="7"/>
    </row>
    <row r="20" ht="17.1" hidden="1" customHeight="1" spans="1:12">
      <c r="A20" s="7" t="s">
        <v>1658</v>
      </c>
      <c r="B20" s="7"/>
      <c r="C20" s="9" t="s">
        <v>776</v>
      </c>
      <c r="D20" s="7"/>
      <c r="E20" s="7" t="s">
        <v>1648</v>
      </c>
      <c r="F20" s="70">
        <v>11</v>
      </c>
      <c r="G20" s="69">
        <f>0.73*1.55</f>
        <v>1.1315</v>
      </c>
      <c r="H20" s="69">
        <f t="shared" si="5"/>
        <v>12.4465</v>
      </c>
      <c r="I20" s="38"/>
      <c r="J20" s="69"/>
      <c r="K20" s="69">
        <f t="shared" si="6"/>
        <v>12.4465</v>
      </c>
      <c r="L20" s="7"/>
    </row>
    <row r="21" ht="17.1" hidden="1" customHeight="1" spans="1:12">
      <c r="A21" s="7" t="s">
        <v>1658</v>
      </c>
      <c r="B21" s="7"/>
      <c r="C21" s="9" t="s">
        <v>776</v>
      </c>
      <c r="D21" s="7"/>
      <c r="E21" s="7" t="s">
        <v>1648</v>
      </c>
      <c r="F21" s="70">
        <v>12</v>
      </c>
      <c r="G21" s="69">
        <f>0.7*1.55</f>
        <v>1.085</v>
      </c>
      <c r="H21" s="69">
        <f t="shared" si="5"/>
        <v>13.02</v>
      </c>
      <c r="I21" s="38"/>
      <c r="J21" s="69"/>
      <c r="K21" s="69">
        <f t="shared" si="6"/>
        <v>13.02</v>
      </c>
      <c r="L21" s="7"/>
    </row>
    <row r="22" ht="17.1" customHeight="1" spans="1:12">
      <c r="A22" s="7" t="s">
        <v>1659</v>
      </c>
      <c r="B22" s="7"/>
      <c r="C22" s="9" t="s">
        <v>776</v>
      </c>
      <c r="D22" s="7"/>
      <c r="E22" s="7" t="s">
        <v>1648</v>
      </c>
      <c r="F22" s="70">
        <v>11</v>
      </c>
      <c r="G22" s="69">
        <f>0.73*1.65</f>
        <v>1.2045</v>
      </c>
      <c r="H22" s="69">
        <f>F22*G22</f>
        <v>13.2495</v>
      </c>
      <c r="I22" s="38">
        <f>2*1.65</f>
        <v>3.3</v>
      </c>
      <c r="J22" s="69"/>
      <c r="K22" s="69">
        <f>H22+I22</f>
        <v>16.5495</v>
      </c>
      <c r="L22" s="69"/>
    </row>
    <row r="23" ht="24" spans="1:12">
      <c r="A23" s="7" t="s">
        <v>1319</v>
      </c>
      <c r="B23" s="123" t="s">
        <v>1660</v>
      </c>
      <c r="C23" s="9" t="s">
        <v>1173</v>
      </c>
      <c r="D23" s="7"/>
      <c r="E23" s="7"/>
      <c r="F23" s="70"/>
      <c r="G23" s="69"/>
      <c r="H23" s="69"/>
      <c r="I23" s="38"/>
      <c r="J23" s="69"/>
      <c r="K23" s="128">
        <f>20.35*0.97</f>
        <v>19.7395</v>
      </c>
      <c r="L23" s="69"/>
    </row>
    <row r="24" ht="36" spans="1:12">
      <c r="A24" s="7" t="s">
        <v>1319</v>
      </c>
      <c r="B24" s="123" t="s">
        <v>1661</v>
      </c>
      <c r="C24" s="9" t="s">
        <v>1173</v>
      </c>
      <c r="D24" s="7"/>
      <c r="E24" s="7"/>
      <c r="F24" s="70"/>
      <c r="G24" s="69"/>
      <c r="H24" s="69"/>
      <c r="I24" s="38"/>
      <c r="J24" s="69"/>
      <c r="K24" s="128">
        <f>21.24*0.97</f>
        <v>20.6028</v>
      </c>
      <c r="L24" s="69"/>
    </row>
    <row r="25" ht="17.1" customHeight="1" spans="1:12">
      <c r="A25" s="7" t="s">
        <v>1331</v>
      </c>
      <c r="B25" s="7" t="s">
        <v>1662</v>
      </c>
      <c r="C25" s="9" t="s">
        <v>1173</v>
      </c>
      <c r="D25" s="7"/>
      <c r="E25" s="7"/>
      <c r="F25" s="70"/>
      <c r="G25" s="69"/>
      <c r="H25" s="69"/>
      <c r="I25" s="38"/>
      <c r="J25" s="69"/>
      <c r="K25" s="129">
        <f>8.4/1.13</f>
        <v>7.43362831858407</v>
      </c>
      <c r="L25" s="69"/>
    </row>
    <row r="26" ht="17.1" customHeight="1" spans="1:12">
      <c r="A26" s="7" t="s">
        <v>1524</v>
      </c>
      <c r="B26" s="7"/>
      <c r="C26" s="8"/>
      <c r="D26" s="8"/>
      <c r="E26" s="8"/>
      <c r="F26" s="8"/>
      <c r="G26" s="8"/>
      <c r="H26" s="8"/>
      <c r="I26" s="8"/>
      <c r="J26" s="8"/>
      <c r="K26" s="7">
        <v>0.11</v>
      </c>
      <c r="L26" s="8"/>
    </row>
    <row r="27" ht="17.1" customHeight="1" spans="1:14">
      <c r="A27" s="7" t="s">
        <v>1523</v>
      </c>
      <c r="B27" s="7"/>
      <c r="C27" s="8"/>
      <c r="D27" s="8"/>
      <c r="E27" s="8"/>
      <c r="F27" s="8"/>
      <c r="G27" s="8"/>
      <c r="H27" s="8"/>
      <c r="I27" s="8"/>
      <c r="J27" s="8"/>
      <c r="K27" s="7">
        <v>0.53</v>
      </c>
      <c r="L27" s="8"/>
      <c r="M27" s="1">
        <f>2.64+2.64*0.1</f>
        <v>2.904</v>
      </c>
      <c r="N27" s="1">
        <f>M27*8</f>
        <v>23.232</v>
      </c>
    </row>
    <row r="28" ht="17.1" customHeight="1" spans="1:14">
      <c r="A28" s="7" t="s">
        <v>842</v>
      </c>
      <c r="B28" s="7"/>
      <c r="C28" s="8"/>
      <c r="D28" s="8"/>
      <c r="E28" s="8"/>
      <c r="F28" s="8"/>
      <c r="G28" s="8"/>
      <c r="H28" s="8"/>
      <c r="I28" s="8"/>
      <c r="J28" s="8"/>
      <c r="K28" s="38">
        <v>5.77</v>
      </c>
      <c r="L28" s="8"/>
      <c r="M28" s="1">
        <f>4.97+4.97*0.1</f>
        <v>5.467</v>
      </c>
      <c r="N28" s="1">
        <f>M28*8</f>
        <v>43.736</v>
      </c>
    </row>
    <row r="29" ht="17.1" customHeight="1" spans="1:12">
      <c r="A29" s="7" t="s">
        <v>841</v>
      </c>
      <c r="B29" s="7"/>
      <c r="C29" s="8"/>
      <c r="D29" s="8"/>
      <c r="E29" s="8"/>
      <c r="F29" s="8"/>
      <c r="G29" s="8"/>
      <c r="H29" s="8"/>
      <c r="I29" s="8"/>
      <c r="J29" s="8"/>
      <c r="K29" s="38">
        <v>8.1</v>
      </c>
      <c r="L29" s="29"/>
    </row>
  </sheetData>
  <sheetProtection formatCells="0" insertHyperlinks="0" autoFilter="0"/>
  <mergeCells count="2">
    <mergeCell ref="A1:L1"/>
    <mergeCell ref="A2:B2"/>
  </mergeCells>
  <pageMargins left="0.75" right="0.75" top="1" bottom="1" header="0.5" footer="0.5"/>
  <pageSetup paperSize="9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tabColor theme="0"/>
  </sheetPr>
  <dimension ref="A1:I52"/>
  <sheetViews>
    <sheetView topLeftCell="A4" workbookViewId="0">
      <selection activeCell="K4608" sqref="K4608"/>
    </sheetView>
  </sheetViews>
  <sheetFormatPr defaultColWidth="9" defaultRowHeight="14.25"/>
  <cols>
    <col min="1" max="1" width="13" customWidth="1"/>
    <col min="2" max="2" width="25.125" customWidth="1"/>
    <col min="3" max="3" width="14.5" customWidth="1"/>
    <col min="4" max="4" width="22.875" customWidth="1"/>
    <col min="5" max="5" width="10.625" customWidth="1"/>
    <col min="6" max="6" width="12.5" customWidth="1"/>
    <col min="7" max="7" width="20.5" style="65" customWidth="1"/>
    <col min="8" max="8" width="14.375" style="92" customWidth="1"/>
    <col min="9" max="9" width="11.125" style="92"/>
    <col min="10" max="10" width="14.125" style="65"/>
    <col min="11" max="11" width="9" style="65"/>
  </cols>
  <sheetData>
    <row r="1" ht="20.1" customHeight="1" spans="1:5">
      <c r="A1" s="93" t="s">
        <v>1663</v>
      </c>
      <c r="B1" s="93"/>
      <c r="C1" s="93"/>
      <c r="D1" s="93"/>
      <c r="E1" s="93"/>
    </row>
    <row r="2" ht="20.1" customHeight="1" spans="1:5">
      <c r="A2" s="94"/>
      <c r="B2" s="94"/>
      <c r="C2" s="94"/>
      <c r="D2" s="94"/>
      <c r="E2" s="93"/>
    </row>
    <row r="3" ht="20.1" customHeight="1" spans="1:8">
      <c r="A3" s="67" t="s">
        <v>1</v>
      </c>
      <c r="B3" s="67" t="s">
        <v>444</v>
      </c>
      <c r="C3" s="67" t="s">
        <v>159</v>
      </c>
      <c r="D3" s="67" t="s">
        <v>160</v>
      </c>
      <c r="E3" s="95"/>
      <c r="H3" s="96"/>
    </row>
    <row r="4" ht="20.1" customHeight="1" spans="1:8">
      <c r="A4" s="67">
        <v>1</v>
      </c>
      <c r="B4" s="67" t="s">
        <v>839</v>
      </c>
      <c r="C4" s="67" t="s">
        <v>840</v>
      </c>
      <c r="D4" s="68">
        <f>材料分析!D4</f>
        <v>219516.786436822</v>
      </c>
      <c r="E4" s="97"/>
      <c r="H4" s="96"/>
    </row>
    <row r="5" ht="20.1" customHeight="1" spans="1:6">
      <c r="A5" s="67">
        <v>2</v>
      </c>
      <c r="B5" s="67" t="s">
        <v>979</v>
      </c>
      <c r="C5" s="82" t="s">
        <v>200</v>
      </c>
      <c r="D5" s="72">
        <f>材料分析!F4</f>
        <v>285.784066185189</v>
      </c>
      <c r="E5" s="98"/>
      <c r="F5" s="66"/>
    </row>
    <row r="6" ht="20.1" customHeight="1" spans="1:6">
      <c r="A6" s="67">
        <v>3</v>
      </c>
      <c r="B6" s="67" t="s">
        <v>983</v>
      </c>
      <c r="C6" s="82" t="s">
        <v>200</v>
      </c>
      <c r="D6" s="72">
        <f>材料分析!F1</f>
        <v>264.362353545741</v>
      </c>
      <c r="E6" s="98"/>
      <c r="F6" s="66"/>
    </row>
    <row r="7" ht="20.1" customHeight="1" spans="1:8">
      <c r="A7" s="67">
        <v>4</v>
      </c>
      <c r="B7" s="67" t="s">
        <v>961</v>
      </c>
      <c r="C7" s="82" t="s">
        <v>776</v>
      </c>
      <c r="D7" s="72">
        <f>材料分析!H4</f>
        <v>940.240214434686</v>
      </c>
      <c r="E7" s="98"/>
      <c r="H7" s="99"/>
    </row>
    <row r="8" ht="20.1" customHeight="1" spans="1:8">
      <c r="A8" s="67">
        <v>5</v>
      </c>
      <c r="B8" s="67" t="s">
        <v>1012</v>
      </c>
      <c r="C8" s="82" t="s">
        <v>776</v>
      </c>
      <c r="D8" s="72">
        <f>材料分析!J4</f>
        <v>351.217994146582</v>
      </c>
      <c r="E8" s="98"/>
      <c r="H8" s="99"/>
    </row>
    <row r="9" ht="20.1" customHeight="1" spans="1:8">
      <c r="A9" s="67">
        <v>6</v>
      </c>
      <c r="B9" s="67" t="s">
        <v>966</v>
      </c>
      <c r="C9" s="82" t="s">
        <v>776</v>
      </c>
      <c r="D9" s="72">
        <f>材料分析!L4</f>
        <v>2127.198784</v>
      </c>
      <c r="E9" s="98"/>
      <c r="H9" s="99"/>
    </row>
    <row r="10" ht="20.1" customHeight="1" spans="1:8">
      <c r="A10" s="67">
        <v>7</v>
      </c>
      <c r="B10" s="67" t="s">
        <v>1317</v>
      </c>
      <c r="C10" s="82" t="s">
        <v>776</v>
      </c>
      <c r="D10" s="72">
        <f>材料分析!L1</f>
        <v>37067.6376</v>
      </c>
      <c r="E10" s="98"/>
      <c r="H10" s="99"/>
    </row>
    <row r="11" ht="20.1" customHeight="1" spans="1:8">
      <c r="A11" s="67">
        <v>8</v>
      </c>
      <c r="B11" s="67" t="s">
        <v>1655</v>
      </c>
      <c r="C11" s="82" t="s">
        <v>776</v>
      </c>
      <c r="D11" s="72">
        <f>材料分析!N4</f>
        <v>1.7562921461925</v>
      </c>
      <c r="E11" s="98"/>
      <c r="H11" s="99"/>
    </row>
    <row r="12" ht="20.1" customHeight="1" spans="1:8">
      <c r="A12" s="67">
        <v>9</v>
      </c>
      <c r="B12" s="67" t="s">
        <v>1135</v>
      </c>
      <c r="C12" s="82" t="s">
        <v>200</v>
      </c>
      <c r="D12" s="72">
        <f>材料分析!P4</f>
        <v>7.000910658</v>
      </c>
      <c r="E12" s="98"/>
      <c r="H12" s="99"/>
    </row>
    <row r="13" ht="20.1" customHeight="1" spans="1:5">
      <c r="A13" s="67">
        <v>10</v>
      </c>
      <c r="B13" s="67" t="s">
        <v>1269</v>
      </c>
      <c r="C13" s="82" t="s">
        <v>1664</v>
      </c>
      <c r="D13" s="72">
        <f>材料分析!R4</f>
        <v>144.359401049424</v>
      </c>
      <c r="E13" s="98"/>
    </row>
    <row r="14" ht="20.1" customHeight="1" spans="1:5">
      <c r="A14" s="67">
        <v>11</v>
      </c>
      <c r="B14" s="67" t="s">
        <v>928</v>
      </c>
      <c r="C14" s="82" t="s">
        <v>1664</v>
      </c>
      <c r="D14" s="72">
        <f>材料分析!T4</f>
        <v>17796.662012683</v>
      </c>
      <c r="E14" s="98"/>
    </row>
    <row r="15" ht="20.1" customHeight="1" spans="1:5">
      <c r="A15" s="67"/>
      <c r="B15" s="67"/>
      <c r="C15" s="82"/>
      <c r="D15" s="68"/>
      <c r="E15" s="97"/>
    </row>
    <row r="16" ht="20.1" customHeight="1" spans="1:5">
      <c r="A16" s="67"/>
      <c r="B16" s="67"/>
      <c r="C16" s="82"/>
      <c r="D16" s="68"/>
      <c r="E16" s="97"/>
    </row>
    <row r="17" ht="20.1" customHeight="1" spans="1:5">
      <c r="A17" s="100" t="s">
        <v>1665</v>
      </c>
      <c r="B17" s="100"/>
      <c r="C17" s="100"/>
      <c r="D17" s="100"/>
      <c r="E17" s="93"/>
    </row>
    <row r="18" ht="20.1" customHeight="1" spans="1:5">
      <c r="A18" s="94"/>
      <c r="B18" s="94"/>
      <c r="C18" s="94"/>
      <c r="D18" s="94"/>
      <c r="E18" s="93"/>
    </row>
    <row r="19" ht="20.1" customHeight="1" spans="1:5">
      <c r="A19" s="67" t="s">
        <v>1</v>
      </c>
      <c r="B19" s="67" t="s">
        <v>444</v>
      </c>
      <c r="C19" s="67" t="s">
        <v>159</v>
      </c>
      <c r="D19" s="67" t="s">
        <v>160</v>
      </c>
      <c r="E19" s="95"/>
    </row>
    <row r="20" ht="20.1" customHeight="1" spans="1:5">
      <c r="A20" s="67">
        <v>1</v>
      </c>
      <c r="B20" s="67" t="s">
        <v>1666</v>
      </c>
      <c r="C20" s="82" t="s">
        <v>637</v>
      </c>
      <c r="D20" s="74">
        <f>(建筑概算核!G46+建筑概算核!G58+建筑概算核!G69+建筑概算核!G83+建筑概算核!G90+建筑概算核!G382+建筑概算核!G397+建筑概算核!G439+建筑概算核!G494+建筑概算核!G300+建筑概算核!G283+建筑概算核!G275+建筑概算核!G228+建筑概算核!G211+建筑概算核!G203+建筑概算核!G156+建筑概算核!G139+建筑概算核!G131)/100</f>
        <v>0.542328</v>
      </c>
      <c r="E20" s="101">
        <f>D20/100</f>
        <v>0.00542328</v>
      </c>
    </row>
    <row r="21" ht="20.1" customHeight="1" spans="1:5">
      <c r="A21" s="67">
        <v>2</v>
      </c>
      <c r="B21" s="67" t="s">
        <v>1667</v>
      </c>
      <c r="C21" s="82" t="s">
        <v>637</v>
      </c>
      <c r="D21" s="74">
        <f>(建筑概算核!G67+建筑概算核!G68+建筑概算核!G135+建筑概算核!G136+建筑概算核!G137+建筑概算核!G138+建筑概算核!G148+建筑概算核!G154+建筑概算核!G155+建筑概算核!G207+建筑概算核!G208+建筑概算核!G209+建筑概算核!G210+建筑概算核!G220+建筑概算核!G226+建筑概算核!G227+建筑概算核!G279+建筑概算核!G280+建筑概算核!G281+建筑概算核!G282+建筑概算核!G292+建筑概算核!G298+建筑概算核!G299)/100</f>
        <v>0.1134</v>
      </c>
      <c r="E21" s="101">
        <f>D21/100</f>
        <v>0.001134</v>
      </c>
    </row>
    <row r="22" ht="20.1" customHeight="1" spans="1:5">
      <c r="A22" s="67">
        <v>3</v>
      </c>
      <c r="B22" s="67" t="s">
        <v>1668</v>
      </c>
      <c r="C22" s="82" t="s">
        <v>637</v>
      </c>
      <c r="D22" s="74">
        <f>(建筑概算核!G45+建筑概算核!G49+建筑概算核!G57+建筑概算核!G61+建筑概算核!G70+建筑概算核!G82+建筑概算核!G91+建筑概算核!G101+建筑概算核!G335+建筑概算核!G336+建筑概算核!G334+建筑概算核!G313+建筑概算核!G301+建筑概算核!G274+建筑概算核!G262+建筑概算核!G263+建筑概算核!G264+建筑概算核!G241+建筑概算核!G202+建筑概算核!G190+建筑概算核!G191+建筑概算核!G192+建筑概算核!G169+建筑概算核!G157+建筑概算核!G130)/100</f>
        <v>3.39676780275</v>
      </c>
      <c r="E22" s="101">
        <v>0.1</v>
      </c>
    </row>
    <row r="23" ht="20.1" customHeight="1" spans="1:5">
      <c r="A23" s="67">
        <v>4</v>
      </c>
      <c r="B23" s="67" t="s">
        <v>1135</v>
      </c>
      <c r="C23" s="82" t="s">
        <v>200</v>
      </c>
      <c r="D23" s="74">
        <f>建筑概算核!G47+建筑概算核!G59+建筑概算核!G73+建筑概算核!G84+建筑概算核!G94+建筑概算核!G102+建筑概算核!G140+建筑概算核!G150+建筑概算核!G158+建筑概算核!G212+建筑概算核!G222+建筑概算核!G230+建筑概算核!G284+建筑概算核!G294+建筑概算核!G302</f>
        <v>6.8636379</v>
      </c>
      <c r="E23" s="101">
        <f t="shared" ref="E23:E31" si="0">D23/100</f>
        <v>0.068636379</v>
      </c>
    </row>
    <row r="24" ht="20.1" customHeight="1" spans="1:5">
      <c r="A24" s="67">
        <v>5</v>
      </c>
      <c r="B24" s="67" t="s">
        <v>1669</v>
      </c>
      <c r="C24" s="82" t="s">
        <v>637</v>
      </c>
      <c r="D24" s="74">
        <f>(建筑概算核!G43+建筑概算核!G44+建筑概算核!G50+建筑概算核!G55+建筑概算核!G56+建筑概算核!G62+建筑概算核!G71+建筑概算核!G72+建筑概算核!G80+建筑概算核!G81+建筑概算核!G92+建筑概算核!G93+建筑概算核!G100+建筑概算核!G128+建筑概算核!G129+建筑概算核!G200+建筑概算核!G201+建筑概算核!G272+建筑概算核!G273)/100</f>
        <v>18.824768</v>
      </c>
      <c r="E24" s="101">
        <f t="shared" si="0"/>
        <v>0.18824768</v>
      </c>
    </row>
    <row r="25" ht="20.1" hidden="1" customHeight="1" spans="1:8">
      <c r="A25" s="67">
        <v>6</v>
      </c>
      <c r="B25" s="67" t="s">
        <v>1670</v>
      </c>
      <c r="C25" s="82" t="s">
        <v>637</v>
      </c>
      <c r="D25" s="74" t="e">
        <f>#REF!+#REF!</f>
        <v>#REF!</v>
      </c>
      <c r="E25" s="101" t="e">
        <f t="shared" si="0"/>
        <v>#REF!</v>
      </c>
      <c r="F25" t="s">
        <v>1671</v>
      </c>
      <c r="G25" s="102">
        <f>D23*350+(D20+D21+D22)*229</f>
        <v>3330.29480382975</v>
      </c>
      <c r="H25" s="92" t="s">
        <v>1672</v>
      </c>
    </row>
    <row r="26" ht="20.1" customHeight="1" spans="1:6">
      <c r="A26" s="67">
        <v>7</v>
      </c>
      <c r="B26" s="67" t="s">
        <v>1673</v>
      </c>
      <c r="C26" s="82" t="s">
        <v>637</v>
      </c>
      <c r="D26" s="74">
        <f>(建筑概算核!G27+建筑概算核!G29+建筑概算核!G31+建筑概算核!G33+建筑概算核!G35+建筑概算核!G37)/100</f>
        <v>319.5486</v>
      </c>
      <c r="E26" s="101">
        <f t="shared" si="0"/>
        <v>3.195486</v>
      </c>
      <c r="F26" s="103"/>
    </row>
    <row r="27" ht="20.1" hidden="1" customHeight="1" spans="1:6">
      <c r="A27" s="67">
        <v>8</v>
      </c>
      <c r="B27" s="67" t="s">
        <v>1674</v>
      </c>
      <c r="C27" s="82" t="s">
        <v>637</v>
      </c>
      <c r="D27" s="74" t="e">
        <f>#REF!+#REF!</f>
        <v>#REF!</v>
      </c>
      <c r="E27" s="101" t="e">
        <f t="shared" si="0"/>
        <v>#REF!</v>
      </c>
      <c r="F27" s="103"/>
    </row>
    <row r="28" ht="20.1" hidden="1" customHeight="1" spans="1:6">
      <c r="A28" s="67">
        <v>9</v>
      </c>
      <c r="B28" s="104" t="s">
        <v>1675</v>
      </c>
      <c r="C28" s="82" t="s">
        <v>637</v>
      </c>
      <c r="D28" s="74" t="e">
        <f>#REF!+#REF!</f>
        <v>#REF!</v>
      </c>
      <c r="E28" s="101" t="e">
        <f t="shared" si="0"/>
        <v>#REF!</v>
      </c>
      <c r="F28" s="103"/>
    </row>
    <row r="29" ht="20.1" hidden="1" customHeight="1" spans="1:6">
      <c r="A29" s="67">
        <v>10</v>
      </c>
      <c r="B29" s="67" t="s">
        <v>1676</v>
      </c>
      <c r="C29" s="82" t="s">
        <v>637</v>
      </c>
      <c r="D29" s="74" t="e">
        <f>#REF!+#REF!</f>
        <v>#REF!</v>
      </c>
      <c r="E29" s="101" t="e">
        <f t="shared" si="0"/>
        <v>#REF!</v>
      </c>
      <c r="F29" s="103"/>
    </row>
    <row r="30" ht="20.1" customHeight="1" spans="1:7">
      <c r="A30" s="67">
        <v>11</v>
      </c>
      <c r="B30" s="67" t="s">
        <v>1677</v>
      </c>
      <c r="C30" s="82" t="s">
        <v>637</v>
      </c>
      <c r="D30" s="74">
        <f>(建筑概算核!G10+建筑概算核!G12+建筑概算核!G14+建筑概算核!G16+建筑概算核!G22+建筑概算核!G24)/100</f>
        <v>560.29</v>
      </c>
      <c r="E30" s="101">
        <f t="shared" si="0"/>
        <v>5.6029</v>
      </c>
      <c r="F30" s="103">
        <f>D30+D34</f>
        <v>1069.091</v>
      </c>
      <c r="G30" s="105"/>
    </row>
    <row r="31" ht="20.1" customHeight="1" spans="1:9">
      <c r="A31" s="67">
        <v>12</v>
      </c>
      <c r="B31" s="67" t="s">
        <v>1678</v>
      </c>
      <c r="C31" s="82" t="s">
        <v>637</v>
      </c>
      <c r="D31" s="74">
        <f>(建筑概算核!G11+建筑概算核!G15+建筑概算核!G19+建筑概算核!G23)/100</f>
        <v>71.912</v>
      </c>
      <c r="E31" s="101">
        <f t="shared" si="0"/>
        <v>0.71912</v>
      </c>
      <c r="F31" s="103">
        <f>D31+D35</f>
        <v>292.862</v>
      </c>
      <c r="H31" s="106"/>
      <c r="I31" s="106"/>
    </row>
    <row r="32" ht="20.1" customHeight="1" spans="1:9">
      <c r="A32" s="67">
        <v>13</v>
      </c>
      <c r="B32" s="67" t="s">
        <v>1679</v>
      </c>
      <c r="C32" s="82" t="s">
        <v>637</v>
      </c>
      <c r="D32" s="74">
        <f>(建筑概算核!G41+建筑概算核!G53+建筑概算核!G65+建筑概算核!G77+建筑概算核!G87+建筑概算核!G97+建筑概算核!G126+建筑概算核!G133+建筑概算核!G146+建筑概算核!G152+建筑概算核!G164+建筑概算核!G198+建筑概算核!G205+建筑概算核!G218+建筑概算核!G224+建筑概算核!G236+建筑概算核!G270+建筑概算核!G277+建筑概算核!G290+建筑概算核!G296+建筑概算核!G308)/100</f>
        <v>28.28872625</v>
      </c>
      <c r="E32" s="101"/>
      <c r="F32" s="103"/>
      <c r="H32" s="106"/>
      <c r="I32" s="106"/>
    </row>
    <row r="33" ht="20.1" customHeight="1" spans="1:9">
      <c r="A33" s="67">
        <v>14</v>
      </c>
      <c r="B33" s="67" t="s">
        <v>1680</v>
      </c>
      <c r="C33" s="82" t="s">
        <v>637</v>
      </c>
      <c r="D33" s="74">
        <f>(建筑概算核!G42+建筑概算核!G54+建筑概算核!G66+建筑概算核!G78+建筑概算核!G88+建筑概算核!G98+建筑概算核!G127+建筑概算核!G134+建筑概算核!G147+建筑概算核!G153+建筑概算核!G165+建筑概算核!G199+建筑概算核!G206+建筑概算核!G219+建筑概算核!G225+建筑概算核!G237+建筑概算核!G271+建筑概算核!G278+建筑概算核!G291+建筑概算核!G297+建筑概算核!G309)/100</f>
        <v>16.58374175</v>
      </c>
      <c r="E33" s="101"/>
      <c r="F33" s="103"/>
      <c r="H33" s="106"/>
      <c r="I33" s="106"/>
    </row>
    <row r="34" ht="20.1" customHeight="1" spans="1:9">
      <c r="A34" s="67">
        <v>15</v>
      </c>
      <c r="B34" s="67" t="s">
        <v>339</v>
      </c>
      <c r="C34" s="82" t="s">
        <v>637</v>
      </c>
      <c r="D34" s="74">
        <f>(建筑概算核!G349+建筑概算核!G378+建筑概算核!G407+建筑概算核!G428+建筑概算核!G454+建筑概算核!G476+建筑概算核!G500)/100</f>
        <v>508.801</v>
      </c>
      <c r="E34" s="101"/>
      <c r="F34" s="103"/>
      <c r="H34" s="106"/>
      <c r="I34" s="106"/>
    </row>
    <row r="35" ht="20.1" customHeight="1" spans="1:9">
      <c r="A35" s="67">
        <v>16</v>
      </c>
      <c r="B35" s="67" t="s">
        <v>340</v>
      </c>
      <c r="C35" s="82" t="s">
        <v>637</v>
      </c>
      <c r="D35" s="74">
        <f>(建筑概算核!G350+建筑概算核!G379+建筑概算核!G408+建筑概算核!G429+建筑概算核!G455+建筑概算核!G477+建筑概算核!G501)/100</f>
        <v>220.95</v>
      </c>
      <c r="E35" s="101"/>
      <c r="F35" s="103"/>
      <c r="H35" s="106"/>
      <c r="I35" s="106"/>
    </row>
    <row r="36" ht="20.1" customHeight="1" spans="1:7">
      <c r="A36" s="67">
        <v>17</v>
      </c>
      <c r="B36" s="67" t="s">
        <v>1681</v>
      </c>
      <c r="C36" s="82" t="s">
        <v>649</v>
      </c>
      <c r="D36" s="74">
        <f>(建筑概算核!G28+建筑概算核!G32+建筑概算核!G36)/100</f>
        <v>874.95455</v>
      </c>
      <c r="E36" s="101">
        <f>D36/100</f>
        <v>8.7495455</v>
      </c>
      <c r="F36" s="103"/>
      <c r="G36" s="102"/>
    </row>
    <row r="37" ht="20.1" customHeight="1" spans="1:7">
      <c r="A37" s="67"/>
      <c r="B37" s="67"/>
      <c r="C37" s="82"/>
      <c r="D37" s="74"/>
      <c r="E37" s="101"/>
      <c r="F37" s="103"/>
      <c r="G37" s="102"/>
    </row>
    <row r="38" ht="20.1" customHeight="1" spans="1:6">
      <c r="A38" s="67"/>
      <c r="B38" s="107"/>
      <c r="C38" s="82"/>
      <c r="D38" s="74"/>
      <c r="E38" s="101"/>
      <c r="F38" s="103"/>
    </row>
    <row r="39" ht="19.5" customHeight="1" spans="1:5">
      <c r="A39" s="67"/>
      <c r="B39" s="67"/>
      <c r="C39" s="82"/>
      <c r="D39" s="74"/>
      <c r="E39" s="101"/>
    </row>
    <row r="40" ht="19.5" customHeight="1" spans="1:5">
      <c r="A40" s="67"/>
      <c r="B40" s="67"/>
      <c r="C40" s="82"/>
      <c r="D40" s="72"/>
      <c r="E40" s="98"/>
    </row>
    <row r="41" ht="20.1" customHeight="1" spans="1:5">
      <c r="A41" s="67"/>
      <c r="B41" s="7"/>
      <c r="C41" s="82"/>
      <c r="D41" s="72"/>
      <c r="E41" s="98"/>
    </row>
    <row r="42" ht="27" customHeight="1" spans="1:5">
      <c r="A42" s="108"/>
      <c r="B42" s="96"/>
      <c r="C42" s="109"/>
      <c r="D42" s="110"/>
      <c r="E42" s="98"/>
    </row>
    <row r="43" ht="27" customHeight="1" spans="1:5">
      <c r="A43" s="108"/>
      <c r="B43" s="96"/>
      <c r="C43" s="109"/>
      <c r="D43" s="110"/>
      <c r="E43" s="98"/>
    </row>
    <row r="44" ht="27" customHeight="1" spans="1:5">
      <c r="A44" s="108"/>
      <c r="B44" s="96"/>
      <c r="C44" s="109"/>
      <c r="D44" s="110"/>
      <c r="E44" s="98"/>
    </row>
    <row r="45" ht="27" customHeight="1" spans="1:5">
      <c r="A45" s="108"/>
      <c r="B45" s="96"/>
      <c r="C45" s="109"/>
      <c r="D45" s="110"/>
      <c r="E45" s="98"/>
    </row>
    <row r="46" ht="27" customHeight="1" spans="1:5">
      <c r="A46" s="108"/>
      <c r="B46" s="96"/>
      <c r="C46" s="109"/>
      <c r="D46" s="110"/>
      <c r="E46" s="98"/>
    </row>
    <row r="47" ht="27" customHeight="1" spans="1:5">
      <c r="A47" s="108"/>
      <c r="B47" s="96"/>
      <c r="C47" s="109"/>
      <c r="D47" s="110"/>
      <c r="E47" s="98"/>
    </row>
    <row r="48" ht="27" customHeight="1" spans="1:5">
      <c r="A48" s="108"/>
      <c r="B48" s="96"/>
      <c r="C48" s="109"/>
      <c r="D48" s="110"/>
      <c r="E48" s="98"/>
    </row>
    <row r="49" ht="27" customHeight="1" spans="1:5">
      <c r="A49" s="108"/>
      <c r="B49" s="96"/>
      <c r="C49" s="109"/>
      <c r="D49" s="110"/>
      <c r="E49" s="98"/>
    </row>
    <row r="50" ht="27" customHeight="1" spans="1:5">
      <c r="A50" s="108"/>
      <c r="B50" s="96"/>
      <c r="C50" s="109"/>
      <c r="D50" s="110"/>
      <c r="E50" s="98"/>
    </row>
    <row r="51" spans="1:5">
      <c r="A51" s="108"/>
      <c r="B51" s="108"/>
      <c r="C51" s="109"/>
      <c r="D51" s="110"/>
      <c r="E51" s="98"/>
    </row>
    <row r="52" spans="1:5">
      <c r="A52" s="108"/>
      <c r="B52" s="108"/>
      <c r="C52" s="109"/>
      <c r="D52" s="110"/>
      <c r="E52" s="98"/>
    </row>
  </sheetData>
  <sheetProtection formatCells="0" insertHyperlinks="0" autoFilter="0"/>
  <mergeCells count="2">
    <mergeCell ref="A1:D2"/>
    <mergeCell ref="A17:D18"/>
  </mergeCells>
  <pageMargins left="0.75" right="0.75" top="1" bottom="1" header="0.5" footer="0.5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AT52"/>
  <sheetViews>
    <sheetView workbookViewId="0">
      <pane xSplit="2" topLeftCell="C1" activePane="topRight" state="frozen"/>
      <selection/>
      <selection pane="topRight" activeCell="L5" sqref="L5"/>
    </sheetView>
  </sheetViews>
  <sheetFormatPr defaultColWidth="9" defaultRowHeight="14.25"/>
  <cols>
    <col min="1" max="1" width="27.125" customWidth="1"/>
    <col min="2" max="2" width="10.25" customWidth="1"/>
    <col min="19" max="19" width="9.375" customWidth="1"/>
    <col min="21" max="21" width="8.625" style="65" customWidth="1"/>
    <col min="22" max="22" width="9" style="65"/>
    <col min="23" max="23" width="9.125" style="65" customWidth="1"/>
    <col min="24" max="24" width="8.875" style="65" customWidth="1"/>
    <col min="25" max="25" width="9" style="65"/>
    <col min="26" max="26" width="9.25" style="65" customWidth="1"/>
    <col min="27" max="29" width="9" style="65"/>
    <col min="30" max="30" width="9.375" customWidth="1"/>
    <col min="31" max="32" width="9" style="65"/>
    <col min="33" max="34" width="9.375" style="65" customWidth="1"/>
    <col min="35" max="36" width="9" style="65"/>
    <col min="37" max="38" width="9.375" style="65" customWidth="1"/>
    <col min="40" max="40" width="7.5" customWidth="1"/>
    <col min="41" max="41" width="7.875" customWidth="1"/>
    <col min="42" max="42" width="7.75" customWidth="1"/>
    <col min="44" max="44" width="9.375" customWidth="1"/>
    <col min="46" max="46" width="9.375" customWidth="1"/>
  </cols>
  <sheetData>
    <row r="1" ht="20.1" customHeight="1" spans="4:12">
      <c r="D1" s="66"/>
      <c r="E1" t="s">
        <v>1682</v>
      </c>
      <c r="F1" s="66">
        <f>F8+F15</f>
        <v>264.362353545741</v>
      </c>
      <c r="K1" s="62" t="s">
        <v>1317</v>
      </c>
      <c r="L1" s="66">
        <f>L16</f>
        <v>37067.6376</v>
      </c>
    </row>
    <row r="2" s="62" customFormat="1" ht="20.1" customHeight="1" spans="1:46">
      <c r="A2" s="67"/>
      <c r="B2" s="67"/>
      <c r="C2" s="67" t="s">
        <v>1683</v>
      </c>
      <c r="D2" s="67"/>
      <c r="E2" s="67" t="s">
        <v>979</v>
      </c>
      <c r="F2" s="67"/>
      <c r="G2" s="67" t="s">
        <v>961</v>
      </c>
      <c r="H2" s="67"/>
      <c r="I2" s="67" t="s">
        <v>1012</v>
      </c>
      <c r="J2" s="67"/>
      <c r="K2" s="67" t="s">
        <v>966</v>
      </c>
      <c r="L2" s="67"/>
      <c r="M2" s="67" t="s">
        <v>1655</v>
      </c>
      <c r="N2" s="67"/>
      <c r="O2" s="67" t="s">
        <v>1135</v>
      </c>
      <c r="P2" s="67"/>
      <c r="Q2" s="67" t="s">
        <v>1269</v>
      </c>
      <c r="R2" s="67"/>
      <c r="S2" s="67" t="s">
        <v>928</v>
      </c>
      <c r="T2" s="67"/>
      <c r="U2" s="79" t="s">
        <v>1486</v>
      </c>
      <c r="V2" s="80"/>
      <c r="W2" s="79" t="s">
        <v>1684</v>
      </c>
      <c r="X2" s="80"/>
      <c r="Y2" s="79" t="s">
        <v>1685</v>
      </c>
      <c r="Z2" s="80"/>
      <c r="AA2" s="79" t="s">
        <v>915</v>
      </c>
      <c r="AB2" s="80"/>
      <c r="AC2" s="79" t="s">
        <v>914</v>
      </c>
      <c r="AD2" s="80"/>
      <c r="AE2" s="79" t="s">
        <v>925</v>
      </c>
      <c r="AF2" s="80"/>
      <c r="AG2" s="79" t="s">
        <v>1686</v>
      </c>
      <c r="AH2" s="80"/>
      <c r="AI2" s="79" t="s">
        <v>1515</v>
      </c>
      <c r="AJ2" s="80"/>
      <c r="AK2" s="79" t="s">
        <v>967</v>
      </c>
      <c r="AL2" s="80"/>
      <c r="AM2" s="79" t="s">
        <v>1059</v>
      </c>
      <c r="AN2" s="80"/>
      <c r="AO2" s="79" t="s">
        <v>1532</v>
      </c>
      <c r="AP2" s="80"/>
      <c r="AQ2" s="79" t="s">
        <v>1687</v>
      </c>
      <c r="AR2" s="80"/>
      <c r="AS2" s="79" t="s">
        <v>1075</v>
      </c>
      <c r="AT2" s="80"/>
    </row>
    <row r="3" s="62" customFormat="1" ht="20.1" customHeight="1" spans="1:46">
      <c r="A3" s="67" t="s">
        <v>1688</v>
      </c>
      <c r="B3" s="67" t="s">
        <v>421</v>
      </c>
      <c r="C3" s="67" t="s">
        <v>1624</v>
      </c>
      <c r="D3" s="67" t="s">
        <v>160</v>
      </c>
      <c r="E3" s="67" t="s">
        <v>1624</v>
      </c>
      <c r="F3" s="67" t="s">
        <v>160</v>
      </c>
      <c r="G3" s="67" t="s">
        <v>1624</v>
      </c>
      <c r="H3" s="67" t="s">
        <v>160</v>
      </c>
      <c r="I3" s="67" t="s">
        <v>1624</v>
      </c>
      <c r="J3" s="67" t="s">
        <v>160</v>
      </c>
      <c r="K3" s="67" t="s">
        <v>1624</v>
      </c>
      <c r="L3" s="67" t="s">
        <v>160</v>
      </c>
      <c r="M3" s="67" t="s">
        <v>1624</v>
      </c>
      <c r="N3" s="67" t="s">
        <v>160</v>
      </c>
      <c r="O3" s="67" t="s">
        <v>1624</v>
      </c>
      <c r="P3" s="67" t="s">
        <v>160</v>
      </c>
      <c r="Q3" s="67" t="s">
        <v>1624</v>
      </c>
      <c r="R3" s="67" t="s">
        <v>160</v>
      </c>
      <c r="S3" s="67" t="s">
        <v>1624</v>
      </c>
      <c r="T3" s="67" t="s">
        <v>160</v>
      </c>
      <c r="U3" s="67" t="s">
        <v>1624</v>
      </c>
      <c r="V3" s="67" t="s">
        <v>160</v>
      </c>
      <c r="W3" s="67" t="s">
        <v>1624</v>
      </c>
      <c r="X3" s="67" t="s">
        <v>160</v>
      </c>
      <c r="Y3" s="67" t="s">
        <v>1624</v>
      </c>
      <c r="Z3" s="67" t="s">
        <v>160</v>
      </c>
      <c r="AA3" s="67" t="s">
        <v>1624</v>
      </c>
      <c r="AB3" s="67" t="s">
        <v>160</v>
      </c>
      <c r="AC3" s="67" t="s">
        <v>1624</v>
      </c>
      <c r="AD3" s="67" t="s">
        <v>160</v>
      </c>
      <c r="AE3" s="67" t="s">
        <v>1624</v>
      </c>
      <c r="AF3" s="67" t="s">
        <v>160</v>
      </c>
      <c r="AG3" s="67" t="s">
        <v>1624</v>
      </c>
      <c r="AH3" s="67" t="s">
        <v>160</v>
      </c>
      <c r="AI3" s="67" t="s">
        <v>1624</v>
      </c>
      <c r="AJ3" s="67" t="s">
        <v>160</v>
      </c>
      <c r="AK3" s="67" t="s">
        <v>1624</v>
      </c>
      <c r="AL3" s="67" t="s">
        <v>160</v>
      </c>
      <c r="AM3" s="67" t="s">
        <v>1624</v>
      </c>
      <c r="AN3" s="67" t="s">
        <v>160</v>
      </c>
      <c r="AO3" s="67" t="s">
        <v>1624</v>
      </c>
      <c r="AP3" s="67" t="s">
        <v>160</v>
      </c>
      <c r="AQ3" s="67" t="s">
        <v>1624</v>
      </c>
      <c r="AR3" s="67" t="s">
        <v>160</v>
      </c>
      <c r="AS3" s="67" t="s">
        <v>1624</v>
      </c>
      <c r="AT3" s="67" t="s">
        <v>160</v>
      </c>
    </row>
    <row r="4" s="62" customFormat="1" ht="20.1" customHeight="1" spans="1:46">
      <c r="A4" s="67" t="s">
        <v>156</v>
      </c>
      <c r="B4" s="67"/>
      <c r="C4" s="67"/>
      <c r="D4" s="68">
        <f>SUM(D5:D42)</f>
        <v>219516.786436822</v>
      </c>
      <c r="E4" s="68"/>
      <c r="F4" s="68">
        <f>SUM(F5:F42)-F6</f>
        <v>285.784066185189</v>
      </c>
      <c r="G4" s="68"/>
      <c r="H4" s="68">
        <f>SUM(H5:H42)</f>
        <v>940.240214434686</v>
      </c>
      <c r="I4" s="68"/>
      <c r="J4" s="68">
        <f>SUM(J5:J42)</f>
        <v>351.217994146582</v>
      </c>
      <c r="K4" s="68"/>
      <c r="L4" s="68">
        <f>SUM(L15:L17)-L1</f>
        <v>2127.198784</v>
      </c>
      <c r="M4" s="68"/>
      <c r="N4" s="68">
        <f>SUM(N5:N42)</f>
        <v>1.7562921461925</v>
      </c>
      <c r="O4" s="68"/>
      <c r="P4" s="68">
        <f>SUM(P5:P42)</f>
        <v>7.000910658</v>
      </c>
      <c r="Q4" s="68"/>
      <c r="R4" s="68">
        <f>SUM(R5:R42)</f>
        <v>144.359401049424</v>
      </c>
      <c r="S4" s="68"/>
      <c r="T4" s="68">
        <f>SUM(T5:T42)</f>
        <v>17796.662012683</v>
      </c>
      <c r="U4" s="68"/>
      <c r="V4" s="68">
        <f t="shared" ref="V4:AF4" si="0">SUM(V5:V42)</f>
        <v>901.08134</v>
      </c>
      <c r="W4" s="68"/>
      <c r="X4" s="68">
        <f t="shared" si="0"/>
        <v>0</v>
      </c>
      <c r="Y4" s="68"/>
      <c r="Z4" s="68">
        <f t="shared" si="0"/>
        <v>0</v>
      </c>
      <c r="AA4" s="68"/>
      <c r="AB4" s="68">
        <f t="shared" si="0"/>
        <v>35.956</v>
      </c>
      <c r="AC4" s="68"/>
      <c r="AD4" s="68">
        <f t="shared" si="0"/>
        <v>135.91368</v>
      </c>
      <c r="AE4" s="68"/>
      <c r="AF4" s="68">
        <f t="shared" si="0"/>
        <v>71.912</v>
      </c>
      <c r="AG4" s="68"/>
      <c r="AH4" s="68">
        <f>SUM(AH5:AH42)</f>
        <v>12.15719712</v>
      </c>
      <c r="AI4" s="68"/>
      <c r="AJ4" s="68">
        <f>SUM(AJ5:AJ42)</f>
        <v>31.9988124</v>
      </c>
      <c r="AK4" s="68"/>
      <c r="AL4" s="68">
        <f>SUM(AL5:AL42)</f>
        <v>62.560344</v>
      </c>
      <c r="AM4" s="68"/>
      <c r="AN4" s="68">
        <f>SUM(AN5:AN42)</f>
        <v>0.38505288</v>
      </c>
      <c r="AO4" s="68"/>
      <c r="AP4" s="68">
        <f>SUM(AP5:AP42)</f>
        <v>0.31455024</v>
      </c>
      <c r="AQ4" s="68"/>
      <c r="AR4" s="68">
        <f>SUM(AR5:AR42)</f>
        <v>0</v>
      </c>
      <c r="AS4" s="68"/>
      <c r="AT4" s="68">
        <f>SUM(AT5:AT42)</f>
        <v>0</v>
      </c>
    </row>
    <row r="5" s="63" customFormat="1" ht="20.1" customHeight="1" spans="1:46">
      <c r="A5" s="11" t="s">
        <v>1689</v>
      </c>
      <c r="B5" s="69">
        <f>工程量汇总表!D21</f>
        <v>0.1134</v>
      </c>
      <c r="C5" s="69">
        <f>新定额单价!E1968</f>
        <v>3814.7</v>
      </c>
      <c r="D5" s="70">
        <f>B5*C5</f>
        <v>432.58698</v>
      </c>
      <c r="E5" s="69">
        <f>新定额单价!E1995</f>
        <v>37.58161</v>
      </c>
      <c r="F5" s="70">
        <f>E5*B5</f>
        <v>4.261754574</v>
      </c>
      <c r="G5" s="69">
        <f>新定额单价!E1996</f>
        <v>52.18598</v>
      </c>
      <c r="H5" s="70">
        <f>G5*B5</f>
        <v>5.917890132</v>
      </c>
      <c r="I5" s="69">
        <f>新定额单价!E1997</f>
        <v>86.667084</v>
      </c>
      <c r="J5" s="70">
        <f t="shared" ref="J5:J10" si="1">I5*B5</f>
        <v>9.8280473256</v>
      </c>
      <c r="K5" s="70"/>
      <c r="L5" s="70"/>
      <c r="M5" s="69"/>
      <c r="N5" s="69"/>
      <c r="O5" s="70"/>
      <c r="P5" s="70"/>
      <c r="Q5" s="69"/>
      <c r="R5" s="69"/>
      <c r="S5" s="69"/>
      <c r="T5" s="70"/>
      <c r="U5" s="7"/>
      <c r="V5" s="7"/>
      <c r="W5" s="7"/>
      <c r="X5" s="7"/>
      <c r="Y5" s="7"/>
      <c r="Z5" s="7"/>
      <c r="AA5" s="7"/>
      <c r="AB5" s="7"/>
      <c r="AC5" s="7"/>
      <c r="AD5" s="84"/>
      <c r="AE5" s="7"/>
      <c r="AF5" s="7"/>
      <c r="AG5" s="7">
        <f>新定额单价!E1982</f>
        <v>18.54</v>
      </c>
      <c r="AH5" s="90">
        <f>B5*AG5</f>
        <v>2.102436</v>
      </c>
      <c r="AI5" s="7">
        <f>新定额单价!E1983</f>
        <v>90.64</v>
      </c>
      <c r="AJ5" s="90">
        <f>B5*AI5</f>
        <v>10.278576</v>
      </c>
      <c r="AK5" s="7">
        <f>新定额单价!E1984</f>
        <v>83</v>
      </c>
      <c r="AL5" s="90">
        <f>B5*AK5</f>
        <v>9.4122</v>
      </c>
      <c r="AM5" s="7"/>
      <c r="AN5" s="7"/>
      <c r="AO5" s="7"/>
      <c r="AP5" s="7"/>
      <c r="AQ5" s="7"/>
      <c r="AR5" s="7"/>
      <c r="AS5" s="7"/>
      <c r="AT5" s="7"/>
    </row>
    <row r="6" s="63" customFormat="1" ht="20.1" customHeight="1" spans="1:46">
      <c r="A6" s="11" t="s">
        <v>1690</v>
      </c>
      <c r="B6" s="69"/>
      <c r="C6" s="69">
        <f>C5</f>
        <v>3814.7</v>
      </c>
      <c r="D6" s="70">
        <f>B6*C6</f>
        <v>0</v>
      </c>
      <c r="E6" s="69">
        <f>E5</f>
        <v>37.58161</v>
      </c>
      <c r="F6" s="70">
        <f>E6*B6</f>
        <v>0</v>
      </c>
      <c r="G6" s="69">
        <f>G5</f>
        <v>52.18598</v>
      </c>
      <c r="H6" s="70">
        <f>G6*B6</f>
        <v>0</v>
      </c>
      <c r="I6" s="69">
        <f>I5</f>
        <v>86.667084</v>
      </c>
      <c r="J6" s="70">
        <f t="shared" si="1"/>
        <v>0</v>
      </c>
      <c r="K6" s="70"/>
      <c r="L6" s="70"/>
      <c r="M6" s="69"/>
      <c r="N6" s="69"/>
      <c r="O6" s="70"/>
      <c r="P6" s="70"/>
      <c r="Q6" s="69"/>
      <c r="R6" s="69"/>
      <c r="S6" s="69"/>
      <c r="T6" s="70"/>
      <c r="U6" s="7"/>
      <c r="V6" s="7"/>
      <c r="W6" s="7"/>
      <c r="X6" s="7"/>
      <c r="Y6" s="7"/>
      <c r="Z6" s="7"/>
      <c r="AA6" s="7"/>
      <c r="AB6" s="7"/>
      <c r="AC6" s="7"/>
      <c r="AD6" s="84"/>
      <c r="AE6" s="7"/>
      <c r="AF6" s="7"/>
      <c r="AG6" s="7">
        <f>新定额单价!E1983</f>
        <v>90.64</v>
      </c>
      <c r="AH6" s="90">
        <f>B6*AG6</f>
        <v>0</v>
      </c>
      <c r="AI6" s="7">
        <f>新定额单价!E1984</f>
        <v>83</v>
      </c>
      <c r="AJ6" s="90">
        <f>B6*AI6</f>
        <v>0</v>
      </c>
      <c r="AK6" s="7">
        <f>新定额单价!E1985</f>
        <v>15</v>
      </c>
      <c r="AL6" s="90">
        <f>B6*AK6</f>
        <v>0</v>
      </c>
      <c r="AM6" s="7"/>
      <c r="AN6" s="7"/>
      <c r="AO6" s="7"/>
      <c r="AP6" s="7"/>
      <c r="AQ6" s="7"/>
      <c r="AR6" s="7"/>
      <c r="AS6" s="7"/>
      <c r="AT6" s="7"/>
    </row>
    <row r="7" s="63" customFormat="1" ht="20.1" customHeight="1" spans="1:46">
      <c r="A7" s="11" t="s">
        <v>1691</v>
      </c>
      <c r="B7" s="34"/>
      <c r="C7" s="69">
        <f>新定额单价!E2054</f>
        <v>1584.7</v>
      </c>
      <c r="D7" s="70">
        <f t="shared" ref="D7:D42" si="2">C7*B7</f>
        <v>0</v>
      </c>
      <c r="E7" s="69">
        <f>新定额单价!E2084</f>
        <v>35.035759</v>
      </c>
      <c r="F7" s="70">
        <f t="shared" ref="F7:F15" si="3">B7*E7</f>
        <v>0</v>
      </c>
      <c r="G7" s="69">
        <f>新定额单价!E2085</f>
        <v>54.40666</v>
      </c>
      <c r="H7" s="70">
        <f t="shared" ref="H7:H42" si="4">G7*B7</f>
        <v>0</v>
      </c>
      <c r="I7" s="69">
        <f>新定额单价!E2086</f>
        <v>86.667084</v>
      </c>
      <c r="J7" s="70">
        <f t="shared" si="1"/>
        <v>0</v>
      </c>
      <c r="K7" s="7"/>
      <c r="L7" s="7"/>
      <c r="M7" s="69">
        <v>0.07</v>
      </c>
      <c r="N7" s="69">
        <f t="shared" ref="N7:N23" si="5">M7*B7</f>
        <v>0</v>
      </c>
      <c r="O7" s="7"/>
      <c r="P7" s="7"/>
      <c r="Q7" s="69">
        <f>新定额单价!E2088</f>
        <v>35.136</v>
      </c>
      <c r="R7" s="69">
        <f t="shared" ref="R7:R15" si="6">Q7*B7</f>
        <v>0</v>
      </c>
      <c r="S7" s="69"/>
      <c r="T7" s="70">
        <f t="shared" ref="T7:T12" si="7">S7*B7</f>
        <v>0</v>
      </c>
      <c r="U7" s="7"/>
      <c r="V7" s="7"/>
      <c r="W7" s="7"/>
      <c r="X7" s="7"/>
      <c r="Y7" s="7"/>
      <c r="Z7" s="7"/>
      <c r="AA7" s="7"/>
      <c r="AB7" s="7"/>
      <c r="AC7" s="7"/>
      <c r="AD7" s="84"/>
      <c r="AE7" s="7"/>
      <c r="AF7" s="7"/>
      <c r="AG7" s="7">
        <f>新定额单价!E2069</f>
        <v>16.83</v>
      </c>
      <c r="AH7" s="90">
        <f t="shared" ref="AH7:AH15" si="8">B7*AG7</f>
        <v>0</v>
      </c>
      <c r="AI7" s="7">
        <f>新定额单价!E2069</f>
        <v>16.83</v>
      </c>
      <c r="AJ7" s="90">
        <f t="shared" ref="AJ7:AJ15" si="9">B7*AI7</f>
        <v>0</v>
      </c>
      <c r="AK7" s="7">
        <f>新定额单价!E2072</f>
        <v>83</v>
      </c>
      <c r="AL7" s="90">
        <f t="shared" ref="AL7:AL21" si="10">B7*AK7</f>
        <v>0</v>
      </c>
      <c r="AM7" s="7">
        <f>新定额单价!E2068</f>
        <v>4.88</v>
      </c>
      <c r="AN7" s="90">
        <f>AM7*B7</f>
        <v>0</v>
      </c>
      <c r="AO7" s="7">
        <f>新定额单价!E2071</f>
        <v>35.6</v>
      </c>
      <c r="AP7" s="90">
        <f t="shared" ref="AP7:AP13" si="11">AO7*B7</f>
        <v>0</v>
      </c>
      <c r="AQ7" s="7"/>
      <c r="AR7" s="7"/>
      <c r="AS7" s="7"/>
      <c r="AT7" s="7"/>
    </row>
    <row r="8" s="63" customFormat="1" ht="20.1" customHeight="1" spans="1:46">
      <c r="A8" s="11" t="s">
        <v>1692</v>
      </c>
      <c r="B8" s="34">
        <f>工程量汇总表!D22</f>
        <v>3.39676780275</v>
      </c>
      <c r="C8" s="69">
        <f>C7</f>
        <v>1584.7</v>
      </c>
      <c r="D8" s="70">
        <f t="shared" si="2"/>
        <v>5382.85793701792</v>
      </c>
      <c r="E8" s="69">
        <f>E7</f>
        <v>35.035759</v>
      </c>
      <c r="F8" s="70">
        <f t="shared" si="3"/>
        <v>119.008338116109</v>
      </c>
      <c r="G8" s="69">
        <f>G7</f>
        <v>54.40666</v>
      </c>
      <c r="H8" s="70">
        <f t="shared" si="4"/>
        <v>184.806790943166</v>
      </c>
      <c r="I8" s="69">
        <f>I7</f>
        <v>86.667084</v>
      </c>
      <c r="J8" s="70">
        <f t="shared" si="1"/>
        <v>294.38796048943</v>
      </c>
      <c r="K8" s="7"/>
      <c r="L8" s="7"/>
      <c r="M8" s="69">
        <f>M7</f>
        <v>0.07</v>
      </c>
      <c r="N8" s="69">
        <f t="shared" si="5"/>
        <v>0.2377737461925</v>
      </c>
      <c r="O8" s="7"/>
      <c r="P8" s="7"/>
      <c r="Q8" s="69">
        <f>Q7</f>
        <v>35.136</v>
      </c>
      <c r="R8" s="69">
        <f t="shared" si="6"/>
        <v>119.348833517424</v>
      </c>
      <c r="S8" s="69"/>
      <c r="T8" s="70"/>
      <c r="U8" s="7"/>
      <c r="V8" s="7"/>
      <c r="W8" s="7"/>
      <c r="X8" s="7"/>
      <c r="Y8" s="7"/>
      <c r="Z8" s="7"/>
      <c r="AA8" s="7"/>
      <c r="AB8" s="7"/>
      <c r="AC8" s="7"/>
      <c r="AD8" s="84"/>
      <c r="AE8" s="7"/>
      <c r="AF8" s="7"/>
      <c r="AG8" s="7"/>
      <c r="AH8" s="90"/>
      <c r="AI8" s="7"/>
      <c r="AJ8" s="90"/>
      <c r="AK8" s="7"/>
      <c r="AL8" s="90"/>
      <c r="AM8" s="7"/>
      <c r="AN8" s="90"/>
      <c r="AO8" s="7"/>
      <c r="AP8" s="90"/>
      <c r="AQ8" s="7"/>
      <c r="AR8" s="7"/>
      <c r="AS8" s="7"/>
      <c r="AT8" s="7"/>
    </row>
    <row r="9" s="64" customFormat="1" ht="20.1" customHeight="1" spans="1:46">
      <c r="A9" s="11" t="s">
        <v>1693</v>
      </c>
      <c r="B9" s="71">
        <f>工程量汇总表!D20</f>
        <v>0.542328</v>
      </c>
      <c r="C9" s="72">
        <f>新定额单价!E1080</f>
        <v>1505.7</v>
      </c>
      <c r="D9" s="70">
        <f t="shared" si="2"/>
        <v>816.5832696</v>
      </c>
      <c r="E9" s="72">
        <f>新定额单价!E1110</f>
        <v>31.641291</v>
      </c>
      <c r="F9" s="70">
        <f t="shared" si="3"/>
        <v>17.159958065448</v>
      </c>
      <c r="G9" s="72">
        <f>新定额单价!E1111</f>
        <v>56.62734</v>
      </c>
      <c r="H9" s="70">
        <f t="shared" si="4"/>
        <v>30.71059204752</v>
      </c>
      <c r="I9" s="72">
        <f>新定额单价!E1112</f>
        <v>86.667084</v>
      </c>
      <c r="J9" s="70">
        <f t="shared" si="1"/>
        <v>47.001986331552</v>
      </c>
      <c r="K9" s="67"/>
      <c r="L9" s="67"/>
      <c r="M9" s="72">
        <v>2.8</v>
      </c>
      <c r="N9" s="69">
        <f t="shared" si="5"/>
        <v>1.5185184</v>
      </c>
      <c r="O9" s="67"/>
      <c r="P9" s="67"/>
      <c r="Q9" s="72">
        <f>新定额单价!E1114</f>
        <v>5.112</v>
      </c>
      <c r="R9" s="69">
        <f t="shared" si="6"/>
        <v>2.772380736</v>
      </c>
      <c r="S9" s="72"/>
      <c r="T9" s="70">
        <f t="shared" si="7"/>
        <v>0</v>
      </c>
      <c r="U9" s="67"/>
      <c r="V9" s="67"/>
      <c r="W9" s="67"/>
      <c r="X9" s="67"/>
      <c r="Y9" s="67"/>
      <c r="Z9" s="67"/>
      <c r="AA9" s="67"/>
      <c r="AB9" s="67"/>
      <c r="AC9" s="67"/>
      <c r="AD9" s="85"/>
      <c r="AE9" s="67"/>
      <c r="AF9" s="67"/>
      <c r="AG9" s="67">
        <f>新定额单价!E1096</f>
        <v>18.54</v>
      </c>
      <c r="AH9" s="90">
        <f t="shared" si="8"/>
        <v>10.05476112</v>
      </c>
      <c r="AI9" s="67">
        <f>新定额单价!E1097</f>
        <v>40.05</v>
      </c>
      <c r="AJ9" s="90">
        <f t="shared" si="9"/>
        <v>21.7202364</v>
      </c>
      <c r="AK9" s="67">
        <f>新定额单价!E1098</f>
        <v>98</v>
      </c>
      <c r="AL9" s="90">
        <f t="shared" si="10"/>
        <v>53.148144</v>
      </c>
      <c r="AM9" s="67">
        <f>新定额单价!E1094</f>
        <v>0.71</v>
      </c>
      <c r="AN9" s="90">
        <f t="shared" ref="AN9:AN15" si="12">AM9*B9</f>
        <v>0.38505288</v>
      </c>
      <c r="AO9" s="67">
        <f>新定额单价!E1095</f>
        <v>0.58</v>
      </c>
      <c r="AP9" s="90">
        <f t="shared" si="11"/>
        <v>0.31455024</v>
      </c>
      <c r="AQ9" s="67"/>
      <c r="AR9" s="67"/>
      <c r="AS9" s="67"/>
      <c r="AT9" s="67"/>
    </row>
    <row r="10" s="64" customFormat="1" ht="20.1" customHeight="1" spans="1:46">
      <c r="A10" s="11" t="s">
        <v>1694</v>
      </c>
      <c r="B10" s="71"/>
      <c r="C10" s="72">
        <f>C9</f>
        <v>1505.7</v>
      </c>
      <c r="D10" s="70">
        <f t="shared" si="2"/>
        <v>0</v>
      </c>
      <c r="E10" s="72">
        <f>E13</f>
        <v>25.23059572</v>
      </c>
      <c r="F10" s="70">
        <f t="shared" si="3"/>
        <v>0</v>
      </c>
      <c r="G10" s="72">
        <f>G13</f>
        <v>57.73768</v>
      </c>
      <c r="H10" s="70">
        <f t="shared" si="4"/>
        <v>0</v>
      </c>
      <c r="I10" s="72">
        <f>I13</f>
        <v>86.667084</v>
      </c>
      <c r="J10" s="70">
        <f t="shared" si="1"/>
        <v>0</v>
      </c>
      <c r="K10" s="67"/>
      <c r="L10" s="67"/>
      <c r="M10" s="72">
        <f>M9</f>
        <v>2.8</v>
      </c>
      <c r="N10" s="69">
        <f t="shared" si="5"/>
        <v>0</v>
      </c>
      <c r="O10" s="67"/>
      <c r="P10" s="67"/>
      <c r="Q10" s="72">
        <f>Q9</f>
        <v>5.112</v>
      </c>
      <c r="R10" s="69">
        <f t="shared" si="6"/>
        <v>0</v>
      </c>
      <c r="S10" s="72"/>
      <c r="T10" s="70">
        <f t="shared" si="7"/>
        <v>0</v>
      </c>
      <c r="U10" s="67"/>
      <c r="V10" s="67"/>
      <c r="W10" s="67"/>
      <c r="X10" s="67"/>
      <c r="Y10" s="67"/>
      <c r="Z10" s="67"/>
      <c r="AA10" s="67"/>
      <c r="AB10" s="67"/>
      <c r="AC10" s="67"/>
      <c r="AD10" s="85"/>
      <c r="AE10" s="67"/>
      <c r="AF10" s="67"/>
      <c r="AG10" s="67">
        <f>AG9</f>
        <v>18.54</v>
      </c>
      <c r="AH10" s="90">
        <f t="shared" si="8"/>
        <v>0</v>
      </c>
      <c r="AI10" s="67">
        <f>AI9</f>
        <v>40.05</v>
      </c>
      <c r="AJ10" s="90">
        <f t="shared" si="9"/>
        <v>0</v>
      </c>
      <c r="AK10" s="67">
        <f>AK9</f>
        <v>98</v>
      </c>
      <c r="AL10" s="90">
        <f t="shared" si="10"/>
        <v>0</v>
      </c>
      <c r="AM10" s="67">
        <f>AM9</f>
        <v>0.71</v>
      </c>
      <c r="AN10" s="90">
        <f t="shared" si="12"/>
        <v>0</v>
      </c>
      <c r="AO10" s="67">
        <f>AO9</f>
        <v>0.58</v>
      </c>
      <c r="AP10" s="90">
        <f t="shared" si="11"/>
        <v>0</v>
      </c>
      <c r="AQ10" s="67"/>
      <c r="AR10" s="67"/>
      <c r="AS10" s="67"/>
      <c r="AT10" s="67"/>
    </row>
    <row r="11" s="64" customFormat="1" ht="20.1" customHeight="1" spans="1:46">
      <c r="A11" s="11"/>
      <c r="B11" s="71"/>
      <c r="C11" s="72"/>
      <c r="D11" s="70"/>
      <c r="E11" s="72"/>
      <c r="F11" s="70"/>
      <c r="G11" s="72"/>
      <c r="H11" s="70"/>
      <c r="I11" s="72"/>
      <c r="J11" s="70"/>
      <c r="K11" s="67"/>
      <c r="L11" s="67"/>
      <c r="M11" s="72"/>
      <c r="N11" s="69"/>
      <c r="O11" s="67"/>
      <c r="P11" s="67"/>
      <c r="Q11" s="72"/>
      <c r="R11" s="69"/>
      <c r="S11" s="72"/>
      <c r="T11" s="70"/>
      <c r="U11" s="67"/>
      <c r="V11" s="81"/>
      <c r="W11" s="67"/>
      <c r="X11" s="67"/>
      <c r="Y11" s="67"/>
      <c r="Z11" s="67"/>
      <c r="AA11" s="67"/>
      <c r="AB11" s="81"/>
      <c r="AC11" s="67"/>
      <c r="AD11" s="85"/>
      <c r="AE11" s="67"/>
      <c r="AF11" s="67"/>
      <c r="AG11" s="67"/>
      <c r="AH11" s="90"/>
      <c r="AI11" s="67"/>
      <c r="AJ11" s="90"/>
      <c r="AK11" s="67"/>
      <c r="AL11" s="90"/>
      <c r="AM11" s="67"/>
      <c r="AN11" s="90"/>
      <c r="AO11" s="67"/>
      <c r="AP11" s="90"/>
      <c r="AQ11" s="67"/>
      <c r="AR11" s="67"/>
      <c r="AS11" s="67"/>
      <c r="AT11" s="67"/>
    </row>
    <row r="12" s="64" customFormat="1" ht="20.1" customHeight="1" spans="1:46">
      <c r="A12" s="73" t="s">
        <v>1695</v>
      </c>
      <c r="B12" s="40"/>
      <c r="C12" s="72">
        <f>新定额单价!E4244+新定额单价!E4112*0.84+新定额单价!E4200*0.84</f>
        <v>2823.252</v>
      </c>
      <c r="D12" s="70">
        <f t="shared" si="2"/>
        <v>0</v>
      </c>
      <c r="E12" s="72">
        <f>新定额单价!E4343</f>
        <v>39.98123052</v>
      </c>
      <c r="F12" s="68">
        <f t="shared" si="3"/>
        <v>0</v>
      </c>
      <c r="G12" s="72">
        <f>新定额单价!E4344</f>
        <v>70.3045728</v>
      </c>
      <c r="H12" s="68">
        <f t="shared" si="4"/>
        <v>0</v>
      </c>
      <c r="I12" s="72">
        <f>新定额单价!E4345</f>
        <v>85.21629592</v>
      </c>
      <c r="J12" s="68">
        <f>I12*B12</f>
        <v>0</v>
      </c>
      <c r="K12" s="67"/>
      <c r="L12" s="67"/>
      <c r="M12" s="72"/>
      <c r="N12" s="72">
        <f t="shared" si="5"/>
        <v>0</v>
      </c>
      <c r="O12" s="67"/>
      <c r="P12" s="67"/>
      <c r="Q12" s="74">
        <f>新定额单价!E4348</f>
        <v>10.5984</v>
      </c>
      <c r="R12" s="68">
        <f t="shared" si="6"/>
        <v>0</v>
      </c>
      <c r="S12" s="74">
        <f>新定额单价!E4347</f>
        <v>419.08944</v>
      </c>
      <c r="T12" s="68">
        <f t="shared" si="7"/>
        <v>0</v>
      </c>
      <c r="U12" s="67"/>
      <c r="V12" s="67"/>
      <c r="W12" s="67"/>
      <c r="X12" s="67"/>
      <c r="Y12" s="67"/>
      <c r="Z12" s="67"/>
      <c r="AA12" s="67"/>
      <c r="AB12" s="67"/>
      <c r="AC12" s="67"/>
      <c r="AD12" s="85"/>
      <c r="AE12" s="67"/>
      <c r="AF12" s="67"/>
      <c r="AG12" s="74">
        <f>新定额单价!E4252+新定额单价!E4122*新定额单价!E4248/100</f>
        <v>19.4062</v>
      </c>
      <c r="AH12" s="90">
        <f t="shared" si="8"/>
        <v>0</v>
      </c>
      <c r="AI12" s="67">
        <f>新定额单价!E4123*新定额单价!E4248/100</f>
        <v>28.302</v>
      </c>
      <c r="AJ12" s="90">
        <f t="shared" si="9"/>
        <v>0</v>
      </c>
      <c r="AK12" s="91">
        <f>新定额单价!E4253+新定额单价!E4125*新定额单价!E4248/100</f>
        <v>197.046</v>
      </c>
      <c r="AL12" s="90">
        <f t="shared" si="10"/>
        <v>0</v>
      </c>
      <c r="AM12" s="67">
        <f>新定额单价!E4124*新定额单价!E4248/100</f>
        <v>1.272</v>
      </c>
      <c r="AN12" s="90">
        <f t="shared" si="12"/>
        <v>0</v>
      </c>
      <c r="AO12" s="67"/>
      <c r="AP12" s="90">
        <f t="shared" si="11"/>
        <v>0</v>
      </c>
      <c r="AQ12" s="67">
        <f>新定额单价!E4206</f>
        <v>179.76</v>
      </c>
      <c r="AR12" s="81">
        <f>AQ12*B12</f>
        <v>0</v>
      </c>
      <c r="AS12" s="67"/>
      <c r="AT12" s="67"/>
    </row>
    <row r="13" s="64" customFormat="1" ht="20.1" customHeight="1" spans="1:46">
      <c r="A13" s="73" t="s">
        <v>1696</v>
      </c>
      <c r="B13" s="71"/>
      <c r="C13" s="72">
        <f>新定额单价!E1639</f>
        <v>1486.1</v>
      </c>
      <c r="D13" s="70">
        <f t="shared" si="2"/>
        <v>0</v>
      </c>
      <c r="E13" s="72">
        <f>新定额单价!E1670</f>
        <v>25.23059572</v>
      </c>
      <c r="F13" s="68">
        <f t="shared" si="3"/>
        <v>0</v>
      </c>
      <c r="G13" s="72">
        <f>新定额单价!E1671</f>
        <v>57.73768</v>
      </c>
      <c r="H13" s="68">
        <f t="shared" si="4"/>
        <v>0</v>
      </c>
      <c r="I13" s="72">
        <f>新定额单价!E1672</f>
        <v>86.667084</v>
      </c>
      <c r="J13" s="68">
        <f t="shared" ref="J13:J39" si="13">I13*B13</f>
        <v>0</v>
      </c>
      <c r="K13" s="67"/>
      <c r="L13" s="67"/>
      <c r="M13" s="72">
        <v>0.4</v>
      </c>
      <c r="N13" s="72">
        <f t="shared" si="5"/>
        <v>0</v>
      </c>
      <c r="O13" s="67"/>
      <c r="P13" s="67"/>
      <c r="Q13" s="74">
        <f>新定额单价!E1674</f>
        <v>12.83864</v>
      </c>
      <c r="R13" s="68">
        <f t="shared" si="6"/>
        <v>0</v>
      </c>
      <c r="S13" s="74"/>
      <c r="T13" s="68"/>
      <c r="U13" s="67"/>
      <c r="V13" s="67"/>
      <c r="W13" s="67"/>
      <c r="X13" s="67"/>
      <c r="Y13" s="67"/>
      <c r="Z13" s="67"/>
      <c r="AA13" s="67"/>
      <c r="AB13" s="67"/>
      <c r="AC13" s="67"/>
      <c r="AD13" s="85"/>
      <c r="AE13" s="67"/>
      <c r="AF13" s="67"/>
      <c r="AG13" s="67">
        <f>新定额单价!E1656</f>
        <v>18.54</v>
      </c>
      <c r="AH13" s="90">
        <f t="shared" si="8"/>
        <v>0</v>
      </c>
      <c r="AI13" s="67">
        <f>新定额单价!E1657</f>
        <v>40.05</v>
      </c>
      <c r="AJ13" s="90">
        <f t="shared" si="9"/>
        <v>0</v>
      </c>
      <c r="AK13" s="67">
        <f>新定额单价!E1658</f>
        <v>83</v>
      </c>
      <c r="AL13" s="90">
        <f t="shared" si="10"/>
        <v>0</v>
      </c>
      <c r="AM13" s="67">
        <f>新定额单价!E1653</f>
        <v>1.5012</v>
      </c>
      <c r="AN13" s="90">
        <f t="shared" si="12"/>
        <v>0</v>
      </c>
      <c r="AO13" s="67">
        <f>新定额单价!E1655</f>
        <v>3.3534</v>
      </c>
      <c r="AP13" s="90">
        <f t="shared" si="11"/>
        <v>0</v>
      </c>
      <c r="AQ13" s="67"/>
      <c r="AR13" s="67"/>
      <c r="AS13" s="67">
        <f>新定额单价!E1653</f>
        <v>1.5012</v>
      </c>
      <c r="AT13" s="81">
        <f>AS13*B13</f>
        <v>0</v>
      </c>
    </row>
    <row r="14" s="64" customFormat="1" ht="20.1" customHeight="1" spans="1:46">
      <c r="A14" s="73" t="s">
        <v>1135</v>
      </c>
      <c r="B14" s="71">
        <f>工程量汇总表!D23</f>
        <v>6.8636379</v>
      </c>
      <c r="C14" s="67">
        <f>新定额单价!E3147+新定额单价!E3163*2.4+新定额单价!E3164*2</f>
        <v>109.78</v>
      </c>
      <c r="D14" s="70">
        <f t="shared" si="2"/>
        <v>753.490168662</v>
      </c>
      <c r="E14" s="72"/>
      <c r="F14" s="68">
        <f t="shared" si="3"/>
        <v>0</v>
      </c>
      <c r="G14" s="72"/>
      <c r="H14" s="68">
        <f t="shared" si="4"/>
        <v>0</v>
      </c>
      <c r="I14" s="72"/>
      <c r="J14" s="68">
        <f t="shared" si="13"/>
        <v>0</v>
      </c>
      <c r="K14" s="67"/>
      <c r="L14" s="67"/>
      <c r="M14" s="67"/>
      <c r="N14" s="72">
        <f t="shared" si="5"/>
        <v>0</v>
      </c>
      <c r="O14" s="67">
        <f>新定额单价!E3151</f>
        <v>1.02</v>
      </c>
      <c r="P14" s="72">
        <f>O14*B14</f>
        <v>7.000910658</v>
      </c>
      <c r="Q14" s="67">
        <f>新定额单价!E3163*台时!H34</f>
        <v>3.24</v>
      </c>
      <c r="R14" s="68">
        <f t="shared" si="6"/>
        <v>22.238186796</v>
      </c>
      <c r="S14" s="67">
        <f>新定额单价!E3175</f>
        <v>1.11</v>
      </c>
      <c r="T14" s="68">
        <f>S14*B14</f>
        <v>7.618638069</v>
      </c>
      <c r="U14" s="67"/>
      <c r="V14" s="67"/>
      <c r="W14" s="67"/>
      <c r="X14" s="67"/>
      <c r="Y14" s="67"/>
      <c r="Z14" s="67"/>
      <c r="AA14" s="67"/>
      <c r="AB14" s="67"/>
      <c r="AC14" s="67"/>
      <c r="AD14" s="85"/>
      <c r="AE14" s="67"/>
      <c r="AF14" s="67"/>
      <c r="AG14" s="67"/>
      <c r="AH14" s="90">
        <f t="shared" si="8"/>
        <v>0</v>
      </c>
      <c r="AI14" s="67"/>
      <c r="AJ14" s="90">
        <f t="shared" si="9"/>
        <v>0</v>
      </c>
      <c r="AK14" s="67"/>
      <c r="AL14" s="90">
        <f t="shared" si="10"/>
        <v>0</v>
      </c>
      <c r="AM14" s="67"/>
      <c r="AN14" s="90">
        <f t="shared" si="12"/>
        <v>0</v>
      </c>
      <c r="AO14" s="67"/>
      <c r="AP14" s="67"/>
      <c r="AQ14" s="67"/>
      <c r="AR14" s="67"/>
      <c r="AS14" s="67"/>
      <c r="AT14" s="67"/>
    </row>
    <row r="15" s="64" customFormat="1" ht="20.1" customHeight="1" spans="1:46">
      <c r="A15" s="73" t="s">
        <v>1669</v>
      </c>
      <c r="B15" s="71">
        <f>工程量汇总表!D24</f>
        <v>18.824768</v>
      </c>
      <c r="C15" s="67">
        <f>新定额单价!E946</f>
        <v>810.3</v>
      </c>
      <c r="D15" s="70">
        <f t="shared" si="2"/>
        <v>15253.7095104</v>
      </c>
      <c r="E15" s="72">
        <f>新定额单价!E951*配合比!E14</f>
        <v>7.721424</v>
      </c>
      <c r="F15" s="68">
        <f t="shared" si="3"/>
        <v>145.354015429632</v>
      </c>
      <c r="G15" s="72">
        <f>新定额单价!E951*配合比!G14</f>
        <v>38.184</v>
      </c>
      <c r="H15" s="68">
        <f t="shared" si="4"/>
        <v>718.804941312</v>
      </c>
      <c r="I15" s="72"/>
      <c r="J15" s="68">
        <f t="shared" si="13"/>
        <v>0</v>
      </c>
      <c r="K15" s="67">
        <f>新定额单价!E950</f>
        <v>113</v>
      </c>
      <c r="L15" s="68">
        <f>K15*B15</f>
        <v>2127.198784</v>
      </c>
      <c r="M15" s="67"/>
      <c r="N15" s="72">
        <f t="shared" si="5"/>
        <v>0</v>
      </c>
      <c r="O15" s="67"/>
      <c r="P15" s="72"/>
      <c r="Q15" s="67"/>
      <c r="R15" s="68">
        <f t="shared" si="6"/>
        <v>0</v>
      </c>
      <c r="S15" s="67"/>
      <c r="T15" s="68">
        <f>S15*B15</f>
        <v>0</v>
      </c>
      <c r="U15" s="67"/>
      <c r="V15" s="67"/>
      <c r="W15" s="67"/>
      <c r="X15" s="67"/>
      <c r="Y15" s="67"/>
      <c r="Z15" s="67"/>
      <c r="AA15" s="67"/>
      <c r="AB15" s="67"/>
      <c r="AC15" s="67"/>
      <c r="AD15" s="85"/>
      <c r="AE15" s="67"/>
      <c r="AF15" s="67"/>
      <c r="AG15" s="67"/>
      <c r="AH15" s="90">
        <f t="shared" si="8"/>
        <v>0</v>
      </c>
      <c r="AI15" s="67"/>
      <c r="AJ15" s="90">
        <f t="shared" si="9"/>
        <v>0</v>
      </c>
      <c r="AK15" s="67"/>
      <c r="AL15" s="90">
        <f t="shared" si="10"/>
        <v>0</v>
      </c>
      <c r="AM15" s="67"/>
      <c r="AN15" s="90">
        <f t="shared" si="12"/>
        <v>0</v>
      </c>
      <c r="AO15" s="67"/>
      <c r="AP15" s="67"/>
      <c r="AQ15" s="67"/>
      <c r="AR15" s="67"/>
      <c r="AS15" s="67"/>
      <c r="AT15" s="67"/>
    </row>
    <row r="16" s="64" customFormat="1" ht="20.1" customHeight="1" spans="1:46">
      <c r="A16" s="73" t="s">
        <v>1697</v>
      </c>
      <c r="B16" s="71">
        <f>工程量汇总表!D26</f>
        <v>319.5486</v>
      </c>
      <c r="C16" s="67">
        <f>新定额单价!E4708</f>
        <v>579.1</v>
      </c>
      <c r="D16" s="70">
        <f t="shared" si="2"/>
        <v>185050.59426</v>
      </c>
      <c r="E16" s="72"/>
      <c r="F16" s="68"/>
      <c r="G16" s="72"/>
      <c r="H16" s="68">
        <f t="shared" si="4"/>
        <v>0</v>
      </c>
      <c r="I16" s="72"/>
      <c r="J16" s="68"/>
      <c r="K16" s="67">
        <f>新定额单价!E4712</f>
        <v>116</v>
      </c>
      <c r="L16" s="68">
        <f>K16*B16</f>
        <v>37067.6376</v>
      </c>
      <c r="M16" s="67"/>
      <c r="N16" s="72"/>
      <c r="O16" s="67"/>
      <c r="P16" s="72"/>
      <c r="Q16" s="67"/>
      <c r="R16" s="68"/>
      <c r="S16" s="67"/>
      <c r="T16" s="68"/>
      <c r="U16" s="67"/>
      <c r="V16" s="67"/>
      <c r="W16" s="67"/>
      <c r="X16" s="67"/>
      <c r="Y16" s="67"/>
      <c r="Z16" s="67"/>
      <c r="AA16" s="67"/>
      <c r="AB16" s="67"/>
      <c r="AC16" s="67"/>
      <c r="AD16" s="85"/>
      <c r="AE16" s="67"/>
      <c r="AF16" s="67"/>
      <c r="AG16" s="67"/>
      <c r="AH16" s="90"/>
      <c r="AI16" s="67"/>
      <c r="AJ16" s="90"/>
      <c r="AK16" s="67"/>
      <c r="AL16" s="90"/>
      <c r="AM16" s="67"/>
      <c r="AN16" s="90"/>
      <c r="AO16" s="67"/>
      <c r="AP16" s="67"/>
      <c r="AQ16" s="67"/>
      <c r="AR16" s="67"/>
      <c r="AS16" s="67"/>
      <c r="AT16" s="67"/>
    </row>
    <row r="17" s="64" customFormat="1" ht="20.1" customHeight="1" spans="1:46">
      <c r="A17" s="73" t="str">
        <f>工程量汇总表!B28</f>
        <v>干茬石挤密</v>
      </c>
      <c r="B17" s="71"/>
      <c r="C17" s="67">
        <f>新定额单价!E680</f>
        <v>363.4</v>
      </c>
      <c r="D17" s="70">
        <f t="shared" si="2"/>
        <v>0</v>
      </c>
      <c r="E17" s="67"/>
      <c r="F17" s="68"/>
      <c r="G17" s="72"/>
      <c r="H17" s="68"/>
      <c r="I17" s="72"/>
      <c r="J17" s="68"/>
      <c r="K17" s="67">
        <f>新定额单价!E684</f>
        <v>111</v>
      </c>
      <c r="L17" s="68">
        <f>K17*B17</f>
        <v>0</v>
      </c>
      <c r="M17" s="67"/>
      <c r="N17" s="72"/>
      <c r="O17" s="67"/>
      <c r="P17" s="72"/>
      <c r="Q17" s="67"/>
      <c r="R17" s="68"/>
      <c r="S17" s="67"/>
      <c r="T17" s="68"/>
      <c r="U17" s="67"/>
      <c r="V17" s="67"/>
      <c r="W17" s="67"/>
      <c r="X17" s="67"/>
      <c r="Y17" s="67"/>
      <c r="Z17" s="67"/>
      <c r="AA17" s="67"/>
      <c r="AB17" s="67"/>
      <c r="AC17" s="67"/>
      <c r="AD17" s="85"/>
      <c r="AE17" s="67"/>
      <c r="AF17" s="67"/>
      <c r="AG17" s="67"/>
      <c r="AH17" s="90"/>
      <c r="AI17" s="67"/>
      <c r="AJ17" s="90"/>
      <c r="AK17" s="67"/>
      <c r="AL17" s="90"/>
      <c r="AM17" s="67"/>
      <c r="AN17" s="67"/>
      <c r="AO17" s="67"/>
      <c r="AP17" s="67"/>
      <c r="AQ17" s="67"/>
      <c r="AR17" s="67"/>
      <c r="AS17" s="67"/>
      <c r="AT17" s="67"/>
    </row>
    <row r="18" s="64" customFormat="1" ht="20.1" customHeight="1" spans="1:46">
      <c r="A18" s="73" t="str">
        <f>工程量汇总表!B25</f>
        <v>河卵石护坡</v>
      </c>
      <c r="B18" s="71"/>
      <c r="C18" s="67">
        <f>新定额单价!K718</f>
        <v>492.8</v>
      </c>
      <c r="D18" s="70">
        <f t="shared" si="2"/>
        <v>0</v>
      </c>
      <c r="E18" s="67"/>
      <c r="F18" s="68"/>
      <c r="G18" s="72"/>
      <c r="H18" s="68"/>
      <c r="I18" s="72"/>
      <c r="J18" s="68"/>
      <c r="K18" s="67">
        <f>新定额单价!K722</f>
        <v>102</v>
      </c>
      <c r="L18" s="68">
        <f>K18*B18</f>
        <v>0</v>
      </c>
      <c r="M18" s="67"/>
      <c r="N18" s="72"/>
      <c r="O18" s="67"/>
      <c r="P18" s="72"/>
      <c r="Q18" s="67"/>
      <c r="R18" s="68"/>
      <c r="S18" s="67"/>
      <c r="T18" s="68"/>
      <c r="U18" s="67"/>
      <c r="V18" s="67"/>
      <c r="W18" s="67"/>
      <c r="X18" s="67"/>
      <c r="Y18" s="67"/>
      <c r="Z18" s="67"/>
      <c r="AA18" s="67"/>
      <c r="AB18" s="67"/>
      <c r="AC18" s="67"/>
      <c r="AD18" s="85"/>
      <c r="AE18" s="67"/>
      <c r="AF18" s="67"/>
      <c r="AG18" s="67"/>
      <c r="AH18" s="90"/>
      <c r="AI18" s="67"/>
      <c r="AJ18" s="90"/>
      <c r="AK18" s="67"/>
      <c r="AL18" s="90"/>
      <c r="AM18" s="67"/>
      <c r="AN18" s="67"/>
      <c r="AO18" s="67"/>
      <c r="AP18" s="67"/>
      <c r="AQ18" s="67"/>
      <c r="AR18" s="67"/>
      <c r="AS18" s="67"/>
      <c r="AT18" s="67"/>
    </row>
    <row r="19" s="64" customFormat="1" ht="20.1" customHeight="1" spans="1:46">
      <c r="A19" s="73" t="s">
        <v>680</v>
      </c>
      <c r="B19" s="71"/>
      <c r="C19" s="67">
        <f>新定额单价!E756</f>
        <v>1723.7</v>
      </c>
      <c r="D19" s="70">
        <f t="shared" si="2"/>
        <v>0</v>
      </c>
      <c r="E19" s="67">
        <f>新定额单价!E771</f>
        <v>5.813514</v>
      </c>
      <c r="F19" s="68">
        <f t="shared" ref="F19:F39" si="14">B19*E19</f>
        <v>0</v>
      </c>
      <c r="G19" s="72">
        <f>新定额单价!E772</f>
        <v>28.749</v>
      </c>
      <c r="H19" s="68">
        <f t="shared" si="4"/>
        <v>0</v>
      </c>
      <c r="I19" s="72"/>
      <c r="J19" s="68"/>
      <c r="K19" s="67"/>
      <c r="L19" s="68"/>
      <c r="M19" s="67"/>
      <c r="N19" s="72"/>
      <c r="O19" s="67"/>
      <c r="P19" s="72"/>
      <c r="Q19" s="67"/>
      <c r="R19" s="68"/>
      <c r="S19" s="67"/>
      <c r="T19" s="68"/>
      <c r="U19" s="67"/>
      <c r="V19" s="67"/>
      <c r="W19" s="67"/>
      <c r="X19" s="67"/>
      <c r="Y19" s="67"/>
      <c r="Z19" s="67"/>
      <c r="AA19" s="67"/>
      <c r="AB19" s="67"/>
      <c r="AC19" s="67"/>
      <c r="AD19" s="85"/>
      <c r="AE19" s="67"/>
      <c r="AF19" s="67"/>
      <c r="AG19" s="67"/>
      <c r="AH19" s="90"/>
      <c r="AI19" s="67"/>
      <c r="AJ19" s="90"/>
      <c r="AK19" s="67"/>
      <c r="AL19" s="90"/>
      <c r="AM19" s="67"/>
      <c r="AN19" s="67"/>
      <c r="AO19" s="67"/>
      <c r="AP19" s="67"/>
      <c r="AQ19" s="67"/>
      <c r="AR19" s="67"/>
      <c r="AS19" s="67"/>
      <c r="AT19" s="67"/>
    </row>
    <row r="20" s="64" customFormat="1" ht="20.1" customHeight="1" spans="1:46">
      <c r="A20" s="73"/>
      <c r="B20" s="71"/>
      <c r="C20" s="72"/>
      <c r="D20" s="70"/>
      <c r="E20" s="67"/>
      <c r="F20" s="68"/>
      <c r="G20" s="72"/>
      <c r="H20" s="68"/>
      <c r="I20" s="72"/>
      <c r="J20" s="68"/>
      <c r="K20" s="67"/>
      <c r="L20" s="68"/>
      <c r="M20" s="67"/>
      <c r="N20" s="72"/>
      <c r="O20" s="67"/>
      <c r="P20" s="72"/>
      <c r="Q20" s="67"/>
      <c r="R20" s="68"/>
      <c r="S20" s="67"/>
      <c r="T20" s="68"/>
      <c r="U20" s="67"/>
      <c r="V20" s="67"/>
      <c r="W20" s="67"/>
      <c r="X20" s="67"/>
      <c r="Y20" s="67"/>
      <c r="Z20" s="67"/>
      <c r="AA20" s="67"/>
      <c r="AB20" s="67"/>
      <c r="AC20" s="67"/>
      <c r="AD20" s="85"/>
      <c r="AE20" s="67"/>
      <c r="AF20" s="67"/>
      <c r="AG20" s="67"/>
      <c r="AH20" s="90"/>
      <c r="AI20" s="67"/>
      <c r="AJ20" s="90"/>
      <c r="AK20" s="67"/>
      <c r="AL20" s="90"/>
      <c r="AM20" s="67"/>
      <c r="AN20" s="67"/>
      <c r="AO20" s="67"/>
      <c r="AP20" s="67"/>
      <c r="AQ20" s="67"/>
      <c r="AR20" s="67"/>
      <c r="AS20" s="67"/>
      <c r="AT20" s="67"/>
    </row>
    <row r="21" s="64" customFormat="1" ht="20.1" customHeight="1" spans="1:46">
      <c r="A21" s="73" t="s">
        <v>1679</v>
      </c>
      <c r="B21" s="71">
        <f>工程量汇总表!D32</f>
        <v>28.28872625</v>
      </c>
      <c r="C21" s="74">
        <f>新定额单价!E8*0.7+(新定额单价!E90+新定额单价!E94*2)*0.3</f>
        <v>91.074</v>
      </c>
      <c r="D21" s="70">
        <f t="shared" si="2"/>
        <v>2576.3674544925</v>
      </c>
      <c r="E21" s="67"/>
      <c r="F21" s="68">
        <f t="shared" si="14"/>
        <v>0</v>
      </c>
      <c r="G21" s="72"/>
      <c r="H21" s="68">
        <f t="shared" si="4"/>
        <v>0</v>
      </c>
      <c r="I21" s="72"/>
      <c r="J21" s="68">
        <f t="shared" si="13"/>
        <v>0</v>
      </c>
      <c r="K21" s="67"/>
      <c r="L21" s="68"/>
      <c r="M21" s="67"/>
      <c r="N21" s="72">
        <f t="shared" si="5"/>
        <v>0</v>
      </c>
      <c r="O21" s="67"/>
      <c r="P21" s="72"/>
      <c r="Q21" s="67"/>
      <c r="R21" s="68">
        <f>Q21*B21</f>
        <v>0</v>
      </c>
      <c r="S21" s="74">
        <f>新定额单价!E94*0.3*台时!E14</f>
        <v>8.3952</v>
      </c>
      <c r="T21" s="68">
        <f t="shared" ref="T21:T41" si="15">S21*B21</f>
        <v>237.489514614</v>
      </c>
      <c r="U21" s="67"/>
      <c r="V21" s="67"/>
      <c r="W21" s="67"/>
      <c r="X21" s="67"/>
      <c r="Y21" s="67"/>
      <c r="Z21" s="67"/>
      <c r="AA21" s="67"/>
      <c r="AB21" s="67"/>
      <c r="AC21" s="67"/>
      <c r="AD21" s="85"/>
      <c r="AE21" s="67"/>
      <c r="AF21" s="67"/>
      <c r="AG21" s="67"/>
      <c r="AH21" s="67"/>
      <c r="AI21" s="67"/>
      <c r="AJ21" s="67"/>
      <c r="AK21" s="67"/>
      <c r="AL21" s="90">
        <f t="shared" si="10"/>
        <v>0</v>
      </c>
      <c r="AM21" s="67"/>
      <c r="AN21" s="67"/>
      <c r="AO21" s="67"/>
      <c r="AP21" s="67"/>
      <c r="AQ21" s="67"/>
      <c r="AR21" s="67"/>
      <c r="AS21" s="67"/>
      <c r="AT21" s="67"/>
    </row>
    <row r="22" s="64" customFormat="1" ht="20.1" customHeight="1" spans="1:46">
      <c r="A22" s="73" t="s">
        <v>1680</v>
      </c>
      <c r="B22" s="71">
        <f>工程量汇总表!D33</f>
        <v>16.58374175</v>
      </c>
      <c r="C22" s="74">
        <f>新定额单价!E439+新定额单价!E443*2</f>
        <v>259.8</v>
      </c>
      <c r="D22" s="70">
        <f t="shared" si="2"/>
        <v>4308.45610665</v>
      </c>
      <c r="E22" s="67"/>
      <c r="F22" s="68">
        <f t="shared" si="14"/>
        <v>0</v>
      </c>
      <c r="G22" s="72"/>
      <c r="H22" s="68">
        <f t="shared" si="4"/>
        <v>0</v>
      </c>
      <c r="I22" s="72"/>
      <c r="J22" s="68">
        <f t="shared" si="13"/>
        <v>0</v>
      </c>
      <c r="K22" s="67"/>
      <c r="L22" s="68"/>
      <c r="M22" s="67"/>
      <c r="N22" s="72">
        <f t="shared" si="5"/>
        <v>0</v>
      </c>
      <c r="O22" s="67"/>
      <c r="P22" s="72"/>
      <c r="Q22" s="67"/>
      <c r="R22" s="68">
        <f>Q22*B22</f>
        <v>0</v>
      </c>
      <c r="S22" s="74"/>
      <c r="T22" s="68">
        <f t="shared" si="15"/>
        <v>0</v>
      </c>
      <c r="U22" s="67"/>
      <c r="V22" s="67"/>
      <c r="W22" s="67"/>
      <c r="X22" s="67"/>
      <c r="Y22" s="67"/>
      <c r="Z22" s="67"/>
      <c r="AA22" s="67"/>
      <c r="AB22" s="67"/>
      <c r="AC22" s="67"/>
      <c r="AD22" s="85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</row>
    <row r="23" s="64" customFormat="1" ht="20.1" customHeight="1" spans="1:46">
      <c r="A23" s="75" t="s">
        <v>666</v>
      </c>
      <c r="B23" s="71">
        <f>工程量汇总表!D31</f>
        <v>71.912</v>
      </c>
      <c r="C23" s="74">
        <f>新定额单价!E373+新定额单价!E380*2+新定额单价!E381*2+新定额单价!E382*2+新定额单价!E383*2</f>
        <v>27.78</v>
      </c>
      <c r="D23" s="70">
        <f t="shared" si="2"/>
        <v>1997.71536</v>
      </c>
      <c r="E23" s="67"/>
      <c r="F23" s="68">
        <f t="shared" si="14"/>
        <v>0</v>
      </c>
      <c r="G23" s="72"/>
      <c r="H23" s="68">
        <f t="shared" si="4"/>
        <v>0</v>
      </c>
      <c r="I23" s="72"/>
      <c r="J23" s="68">
        <f t="shared" si="13"/>
        <v>0</v>
      </c>
      <c r="K23" s="67"/>
      <c r="L23" s="67"/>
      <c r="M23" s="67"/>
      <c r="N23" s="72">
        <f t="shared" si="5"/>
        <v>0</v>
      </c>
      <c r="O23" s="67"/>
      <c r="P23" s="67"/>
      <c r="Q23" s="67"/>
      <c r="R23" s="68">
        <f>Q23*B23</f>
        <v>0</v>
      </c>
      <c r="S23" s="74">
        <f>新定额单价!E380*台时!G14+新定额单价!E381*台时!E14+新定额单价!E383*10</f>
        <v>29.011</v>
      </c>
      <c r="T23" s="68">
        <f t="shared" si="15"/>
        <v>2086.239032</v>
      </c>
      <c r="U23" s="67"/>
      <c r="V23" s="67"/>
      <c r="W23" s="67"/>
      <c r="X23" s="67"/>
      <c r="Y23" s="67"/>
      <c r="Z23" s="67"/>
      <c r="AA23" s="67">
        <f>新定额单价!E381</f>
        <v>0.5</v>
      </c>
      <c r="AB23" s="81">
        <f>AA23*B23</f>
        <v>35.956</v>
      </c>
      <c r="AC23" s="67">
        <f>新定额单价!E380</f>
        <v>1.89</v>
      </c>
      <c r="AD23" s="86">
        <f>AC23*B23</f>
        <v>135.91368</v>
      </c>
      <c r="AE23" s="67">
        <f>新定额单价!E382</f>
        <v>1</v>
      </c>
      <c r="AF23" s="81">
        <f>AE23*B23</f>
        <v>71.912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</row>
    <row r="24" s="64" customFormat="1" ht="20.1" customHeight="1" spans="1:46">
      <c r="A24" s="75" t="s">
        <v>1487</v>
      </c>
      <c r="B24" s="71">
        <f>工程量汇总表!D35</f>
        <v>220.95</v>
      </c>
      <c r="C24" s="74">
        <f>新定额单价!E46</f>
        <v>1.6</v>
      </c>
      <c r="D24" s="70">
        <f t="shared" si="2"/>
        <v>353.52</v>
      </c>
      <c r="E24" s="67"/>
      <c r="F24" s="68">
        <f t="shared" si="14"/>
        <v>0</v>
      </c>
      <c r="G24" s="72"/>
      <c r="H24" s="68"/>
      <c r="I24" s="72"/>
      <c r="J24" s="68"/>
      <c r="K24" s="67"/>
      <c r="L24" s="67"/>
      <c r="M24" s="67"/>
      <c r="N24" s="72"/>
      <c r="O24" s="67"/>
      <c r="P24" s="67"/>
      <c r="Q24" s="67"/>
      <c r="R24" s="68"/>
      <c r="S24" s="74">
        <f>新定额单价!E57</f>
        <v>12.084</v>
      </c>
      <c r="T24" s="68">
        <f t="shared" si="15"/>
        <v>2669.9598</v>
      </c>
      <c r="U24" s="67"/>
      <c r="V24" s="67"/>
      <c r="W24" s="67"/>
      <c r="X24" s="67"/>
      <c r="Y24" s="67"/>
      <c r="Z24" s="67"/>
      <c r="AA24" s="67"/>
      <c r="AB24" s="81"/>
      <c r="AC24" s="67"/>
      <c r="AD24" s="86"/>
      <c r="AE24" s="67"/>
      <c r="AF24" s="81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</row>
    <row r="25" s="64" customFormat="1" ht="20.1" customHeight="1" spans="1:46">
      <c r="A25" s="75" t="s">
        <v>1698</v>
      </c>
      <c r="B25" s="72">
        <f>工程量汇总表!D30</f>
        <v>560.29</v>
      </c>
      <c r="C25" s="74">
        <f>(新定额单价!E27*0.4+新定额单价!E157*0.6)/100</f>
        <v>0.901</v>
      </c>
      <c r="D25" s="70">
        <f t="shared" si="2"/>
        <v>504.82129</v>
      </c>
      <c r="E25" s="67"/>
      <c r="F25" s="68">
        <f t="shared" si="14"/>
        <v>0</v>
      </c>
      <c r="G25" s="72"/>
      <c r="H25" s="68">
        <f t="shared" si="4"/>
        <v>0</v>
      </c>
      <c r="I25" s="67"/>
      <c r="J25" s="68">
        <f t="shared" si="13"/>
        <v>0</v>
      </c>
      <c r="K25" s="67"/>
      <c r="L25" s="67"/>
      <c r="M25" s="67"/>
      <c r="N25" s="72"/>
      <c r="O25" s="67"/>
      <c r="P25" s="67"/>
      <c r="Q25" s="67"/>
      <c r="R25" s="68"/>
      <c r="S25" s="74">
        <f>新定额单价!E168*0.6</f>
        <v>9.085728</v>
      </c>
      <c r="T25" s="68">
        <f t="shared" si="15"/>
        <v>5090.64254112</v>
      </c>
      <c r="U25" s="74">
        <f>新定额单价!E161*0.6</f>
        <v>0.63984</v>
      </c>
      <c r="V25" s="81">
        <f>B25*U25</f>
        <v>358.4959536</v>
      </c>
      <c r="W25" s="81"/>
      <c r="X25" s="81"/>
      <c r="Y25" s="81"/>
      <c r="Z25" s="81"/>
      <c r="AA25" s="67"/>
      <c r="AB25" s="81"/>
      <c r="AC25" s="67"/>
      <c r="AD25" s="87"/>
      <c r="AE25" s="67"/>
      <c r="AF25" s="81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</row>
    <row r="26" s="64" customFormat="1" ht="20.1" customHeight="1" spans="1:46">
      <c r="A26" s="75" t="s">
        <v>1699</v>
      </c>
      <c r="B26" s="72"/>
      <c r="C26" s="74">
        <f>新定额单价!E202+新定额单价!E207*2+新定额单价!E208*2+新定额单价!E209*2</f>
        <v>14.3052</v>
      </c>
      <c r="D26" s="70">
        <f t="shared" si="2"/>
        <v>0</v>
      </c>
      <c r="E26" s="67"/>
      <c r="F26" s="68">
        <f t="shared" si="14"/>
        <v>0</v>
      </c>
      <c r="G26" s="72"/>
      <c r="H26" s="68"/>
      <c r="I26" s="67"/>
      <c r="J26" s="68"/>
      <c r="K26" s="67"/>
      <c r="L26" s="67"/>
      <c r="M26" s="67"/>
      <c r="N26" s="72"/>
      <c r="O26" s="67"/>
      <c r="P26" s="67"/>
      <c r="Q26" s="67"/>
      <c r="R26" s="68"/>
      <c r="S26" s="74">
        <f>新定额单价!E215</f>
        <v>51.75716</v>
      </c>
      <c r="T26" s="68">
        <f t="shared" si="15"/>
        <v>0</v>
      </c>
      <c r="U26" s="74">
        <f>新定额单价!E207</f>
        <v>0.9464</v>
      </c>
      <c r="V26" s="81">
        <f t="shared" ref="V26:V36" si="16">B26*U26</f>
        <v>0</v>
      </c>
      <c r="W26" s="81"/>
      <c r="X26" s="81"/>
      <c r="Y26" s="81"/>
      <c r="Z26" s="81"/>
      <c r="AA26" s="67"/>
      <c r="AB26" s="81"/>
      <c r="AC26" s="67"/>
      <c r="AD26" s="87"/>
      <c r="AE26" s="67"/>
      <c r="AF26" s="81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</row>
    <row r="27" s="64" customFormat="1" ht="20.1" customHeight="1" spans="1:46">
      <c r="A27" s="75" t="s">
        <v>665</v>
      </c>
      <c r="B27" s="72"/>
      <c r="C27" s="74">
        <f>新定额单价!E505</f>
        <v>16.7</v>
      </c>
      <c r="D27" s="70">
        <f t="shared" si="2"/>
        <v>0</v>
      </c>
      <c r="E27" s="67"/>
      <c r="F27" s="68">
        <f t="shared" si="14"/>
        <v>0</v>
      </c>
      <c r="G27" s="72"/>
      <c r="H27" s="68"/>
      <c r="I27" s="67"/>
      <c r="J27" s="68"/>
      <c r="K27" s="67"/>
      <c r="L27" s="67"/>
      <c r="M27" s="67"/>
      <c r="N27" s="72"/>
      <c r="O27" s="67"/>
      <c r="P27" s="67"/>
      <c r="Q27" s="67"/>
      <c r="R27" s="68"/>
      <c r="S27" s="74"/>
      <c r="T27" s="68">
        <f t="shared" si="15"/>
        <v>0</v>
      </c>
      <c r="U27" s="67"/>
      <c r="V27" s="81">
        <f t="shared" si="16"/>
        <v>0</v>
      </c>
      <c r="W27" s="81"/>
      <c r="X27" s="81"/>
      <c r="Y27" s="81"/>
      <c r="Z27" s="81"/>
      <c r="AA27" s="67"/>
      <c r="AB27" s="81"/>
      <c r="AC27" s="67"/>
      <c r="AD27" s="87"/>
      <c r="AE27" s="67"/>
      <c r="AF27" s="81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</row>
    <row r="28" s="64" customFormat="1" ht="20.1" customHeight="1" spans="1:46">
      <c r="A28" s="75" t="s">
        <v>1700</v>
      </c>
      <c r="B28" s="72"/>
      <c r="C28" s="74">
        <f>新定额单价!E480</f>
        <v>22</v>
      </c>
      <c r="D28" s="70">
        <f t="shared" si="2"/>
        <v>0</v>
      </c>
      <c r="E28" s="67"/>
      <c r="F28" s="68">
        <f t="shared" si="14"/>
        <v>0</v>
      </c>
      <c r="G28" s="72"/>
      <c r="H28" s="68"/>
      <c r="I28" s="67"/>
      <c r="J28" s="68"/>
      <c r="K28" s="67"/>
      <c r="L28" s="67"/>
      <c r="M28" s="67"/>
      <c r="N28" s="72"/>
      <c r="O28" s="67"/>
      <c r="P28" s="67"/>
      <c r="Q28" s="67"/>
      <c r="R28" s="68"/>
      <c r="S28" s="74">
        <f>新定额单价!E494</f>
        <v>68.997</v>
      </c>
      <c r="T28" s="68">
        <f t="shared" si="15"/>
        <v>0</v>
      </c>
      <c r="U28" s="67"/>
      <c r="V28" s="81"/>
      <c r="W28" s="81"/>
      <c r="X28" s="81"/>
      <c r="Y28" s="81"/>
      <c r="Z28" s="81"/>
      <c r="AA28" s="67"/>
      <c r="AB28" s="81"/>
      <c r="AC28" s="67"/>
      <c r="AD28" s="87"/>
      <c r="AE28" s="67"/>
      <c r="AF28" s="81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</row>
    <row r="29" s="64" customFormat="1" ht="20.1" customHeight="1" spans="1:46">
      <c r="A29" s="75" t="s">
        <v>1701</v>
      </c>
      <c r="B29" s="72"/>
      <c r="C29" s="74">
        <f>新定额单价!E4632</f>
        <v>685.2</v>
      </c>
      <c r="D29" s="70">
        <f t="shared" si="2"/>
        <v>0</v>
      </c>
      <c r="E29" s="67">
        <f>新定额单价!E4646</f>
        <v>33.3</v>
      </c>
      <c r="F29" s="68">
        <f t="shared" si="14"/>
        <v>0</v>
      </c>
      <c r="G29" s="72"/>
      <c r="H29" s="68"/>
      <c r="I29" s="67"/>
      <c r="J29" s="68"/>
      <c r="K29" s="67"/>
      <c r="L29" s="67"/>
      <c r="M29" s="67"/>
      <c r="N29" s="72"/>
      <c r="O29" s="67"/>
      <c r="P29" s="67"/>
      <c r="Q29" s="67"/>
      <c r="R29" s="68"/>
      <c r="S29" s="74"/>
      <c r="T29" s="68"/>
      <c r="U29" s="67"/>
      <c r="V29" s="81"/>
      <c r="W29" s="81"/>
      <c r="X29" s="81"/>
      <c r="Y29" s="81"/>
      <c r="Z29" s="81"/>
      <c r="AA29" s="67"/>
      <c r="AB29" s="81"/>
      <c r="AC29" s="67"/>
      <c r="AD29" s="87"/>
      <c r="AE29" s="67"/>
      <c r="AF29" s="81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</row>
    <row r="30" s="64" customFormat="1" ht="20.1" customHeight="1" spans="1:46">
      <c r="A30" s="73" t="s">
        <v>1702</v>
      </c>
      <c r="B30" s="72"/>
      <c r="C30" s="74">
        <f>新定额单价!E202</f>
        <v>4.732</v>
      </c>
      <c r="D30" s="70">
        <f t="shared" si="2"/>
        <v>0</v>
      </c>
      <c r="E30" s="67"/>
      <c r="F30" s="68">
        <f t="shared" si="14"/>
        <v>0</v>
      </c>
      <c r="G30" s="72"/>
      <c r="H30" s="68">
        <f t="shared" si="4"/>
        <v>0</v>
      </c>
      <c r="I30" s="67"/>
      <c r="J30" s="68">
        <f t="shared" si="13"/>
        <v>0</v>
      </c>
      <c r="K30" s="67"/>
      <c r="L30" s="67"/>
      <c r="M30" s="67"/>
      <c r="N30" s="72"/>
      <c r="O30" s="67"/>
      <c r="P30" s="67"/>
      <c r="Q30" s="67"/>
      <c r="R30" s="68"/>
      <c r="S30" s="74">
        <f>新定额单价!E215</f>
        <v>51.75716</v>
      </c>
      <c r="T30" s="68">
        <f t="shared" si="15"/>
        <v>0</v>
      </c>
      <c r="U30" s="67">
        <f>新定额单价!E207</f>
        <v>0.9464</v>
      </c>
      <c r="V30" s="81">
        <f t="shared" si="16"/>
        <v>0</v>
      </c>
      <c r="W30" s="74">
        <f>新定额单价!E208</f>
        <v>0.4732</v>
      </c>
      <c r="X30" s="81">
        <f>B30*W30</f>
        <v>0</v>
      </c>
      <c r="Y30" s="74">
        <f>新定额单价!E209</f>
        <v>3.367</v>
      </c>
      <c r="Z30" s="81">
        <f>Y30*B30</f>
        <v>0</v>
      </c>
      <c r="AA30" s="67"/>
      <c r="AB30" s="81"/>
      <c r="AC30" s="67"/>
      <c r="AD30" s="87"/>
      <c r="AE30" s="67"/>
      <c r="AF30" s="81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</row>
    <row r="31" s="64" customFormat="1" ht="20.1" customHeight="1" spans="1:46">
      <c r="A31" s="76" t="s">
        <v>1703</v>
      </c>
      <c r="B31" s="72"/>
      <c r="C31" s="74">
        <f>新定额单价!E298</f>
        <v>4.732</v>
      </c>
      <c r="D31" s="70">
        <f t="shared" si="2"/>
        <v>0</v>
      </c>
      <c r="E31" s="67"/>
      <c r="F31" s="68">
        <f t="shared" si="14"/>
        <v>0</v>
      </c>
      <c r="G31" s="72"/>
      <c r="H31" s="68">
        <f t="shared" si="4"/>
        <v>0</v>
      </c>
      <c r="I31" s="67"/>
      <c r="J31" s="68">
        <f t="shared" si="13"/>
        <v>0</v>
      </c>
      <c r="K31" s="67"/>
      <c r="L31" s="67"/>
      <c r="M31" s="67"/>
      <c r="N31" s="72"/>
      <c r="O31" s="67"/>
      <c r="P31" s="67"/>
      <c r="Q31" s="67"/>
      <c r="R31" s="68"/>
      <c r="S31" s="74">
        <f>新定额单价!E311</f>
        <v>120.44396</v>
      </c>
      <c r="T31" s="68">
        <f t="shared" si="15"/>
        <v>0</v>
      </c>
      <c r="U31" s="67">
        <f>新定额单价!E303</f>
        <v>0.9464</v>
      </c>
      <c r="V31" s="81">
        <f t="shared" si="16"/>
        <v>0</v>
      </c>
      <c r="W31" s="74">
        <f>新定额单价!E304</f>
        <v>0.4732</v>
      </c>
      <c r="X31" s="81">
        <f t="shared" ref="X31:X39" si="17">B31*W31</f>
        <v>0</v>
      </c>
      <c r="Y31" s="74">
        <f>新定额单价!E305</f>
        <v>10.101</v>
      </c>
      <c r="Z31" s="81">
        <f t="shared" ref="Z31:Z36" si="18">Y31*B31</f>
        <v>0</v>
      </c>
      <c r="AA31" s="67"/>
      <c r="AB31" s="81"/>
      <c r="AC31" s="67"/>
      <c r="AD31" s="87"/>
      <c r="AE31" s="67"/>
      <c r="AF31" s="81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</row>
    <row r="32" s="64" customFormat="1" ht="20.1" customHeight="1" spans="1:46">
      <c r="A32" s="76" t="s">
        <v>1704</v>
      </c>
      <c r="B32" s="72"/>
      <c r="C32" s="74">
        <f>新定额单价!E323</f>
        <v>4.732</v>
      </c>
      <c r="D32" s="70">
        <f t="shared" si="2"/>
        <v>0</v>
      </c>
      <c r="E32" s="67"/>
      <c r="F32" s="68">
        <f t="shared" si="14"/>
        <v>0</v>
      </c>
      <c r="G32" s="72"/>
      <c r="H32" s="68">
        <f t="shared" si="4"/>
        <v>0</v>
      </c>
      <c r="I32" s="67"/>
      <c r="J32" s="68">
        <f t="shared" si="13"/>
        <v>0</v>
      </c>
      <c r="K32" s="67"/>
      <c r="L32" s="67"/>
      <c r="M32" s="67"/>
      <c r="N32" s="72"/>
      <c r="O32" s="67"/>
      <c r="P32" s="67"/>
      <c r="Q32" s="67"/>
      <c r="R32" s="68"/>
      <c r="S32" s="74">
        <f>新定额单价!E336</f>
        <v>131.58236</v>
      </c>
      <c r="T32" s="68">
        <f t="shared" si="15"/>
        <v>0</v>
      </c>
      <c r="U32" s="67"/>
      <c r="V32" s="81">
        <f t="shared" si="16"/>
        <v>0</v>
      </c>
      <c r="W32" s="74"/>
      <c r="X32" s="81">
        <f t="shared" si="17"/>
        <v>0</v>
      </c>
      <c r="Y32" s="74"/>
      <c r="Z32" s="81">
        <f t="shared" si="18"/>
        <v>0</v>
      </c>
      <c r="AA32" s="67"/>
      <c r="AB32" s="81"/>
      <c r="AC32" s="67"/>
      <c r="AD32" s="87"/>
      <c r="AE32" s="67"/>
      <c r="AF32" s="81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</row>
    <row r="33" s="64" customFormat="1" ht="20.1" customHeight="1" spans="1:46">
      <c r="A33" s="76" t="s">
        <v>1705</v>
      </c>
      <c r="B33" s="72"/>
      <c r="C33" s="74">
        <f>新定额单价!E249</f>
        <v>4.732</v>
      </c>
      <c r="D33" s="70">
        <f t="shared" si="2"/>
        <v>0</v>
      </c>
      <c r="E33" s="67"/>
      <c r="F33" s="68">
        <f t="shared" si="14"/>
        <v>0</v>
      </c>
      <c r="G33" s="72"/>
      <c r="H33" s="68">
        <f t="shared" si="4"/>
        <v>0</v>
      </c>
      <c r="I33" s="67"/>
      <c r="J33" s="68">
        <f t="shared" si="13"/>
        <v>0</v>
      </c>
      <c r="K33" s="67"/>
      <c r="L33" s="67"/>
      <c r="M33" s="67"/>
      <c r="N33" s="72"/>
      <c r="O33" s="67"/>
      <c r="P33" s="67"/>
      <c r="Q33" s="67"/>
      <c r="R33" s="68"/>
      <c r="S33" s="74">
        <f>新定额单价!E262</f>
        <v>70.0427</v>
      </c>
      <c r="T33" s="68">
        <f t="shared" si="15"/>
        <v>0</v>
      </c>
      <c r="U33" s="67">
        <f>新定额单价!E254</f>
        <v>0.9464</v>
      </c>
      <c r="V33" s="81">
        <f t="shared" si="16"/>
        <v>0</v>
      </c>
      <c r="W33" s="74">
        <f>新定额单价!E255</f>
        <v>0.4732</v>
      </c>
      <c r="X33" s="81">
        <f t="shared" si="17"/>
        <v>0</v>
      </c>
      <c r="Y33" s="74">
        <f>新定额单价!E256</f>
        <v>5.1597</v>
      </c>
      <c r="Z33" s="81">
        <f t="shared" si="18"/>
        <v>0</v>
      </c>
      <c r="AA33" s="67"/>
      <c r="AB33" s="81"/>
      <c r="AC33" s="67"/>
      <c r="AD33" s="87"/>
      <c r="AE33" s="67"/>
      <c r="AF33" s="81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</row>
    <row r="34" s="64" customFormat="1" ht="20.1" customHeight="1" spans="1:46">
      <c r="A34" s="73" t="s">
        <v>1706</v>
      </c>
      <c r="B34" s="72"/>
      <c r="C34" s="74">
        <f>(新定额单价!E157+新定额单价!E90*0.5)</f>
        <v>5.9</v>
      </c>
      <c r="D34" s="70">
        <f t="shared" si="2"/>
        <v>0</v>
      </c>
      <c r="E34" s="67"/>
      <c r="F34" s="68">
        <f t="shared" si="14"/>
        <v>0</v>
      </c>
      <c r="G34" s="67"/>
      <c r="H34" s="68">
        <f t="shared" si="4"/>
        <v>0</v>
      </c>
      <c r="I34" s="67"/>
      <c r="J34" s="68">
        <f t="shared" si="13"/>
        <v>0</v>
      </c>
      <c r="K34" s="67"/>
      <c r="L34" s="67"/>
      <c r="M34" s="67"/>
      <c r="N34" s="72"/>
      <c r="O34" s="67"/>
      <c r="P34" s="67"/>
      <c r="Q34" s="67"/>
      <c r="R34" s="68"/>
      <c r="S34" s="74">
        <f>新定额单价!E168+新定额单价!E101*0.5</f>
        <v>29.13488</v>
      </c>
      <c r="T34" s="68">
        <f t="shared" si="15"/>
        <v>0</v>
      </c>
      <c r="U34" s="67">
        <f>新定额单价!E161</f>
        <v>1.0664</v>
      </c>
      <c r="V34" s="81">
        <f t="shared" si="16"/>
        <v>0</v>
      </c>
      <c r="W34" s="74"/>
      <c r="X34" s="81">
        <f t="shared" si="17"/>
        <v>0</v>
      </c>
      <c r="Y34" s="74"/>
      <c r="Z34" s="81">
        <f t="shared" si="18"/>
        <v>0</v>
      </c>
      <c r="AA34" s="67">
        <f>新定额单价!E94*0.5</f>
        <v>1.32</v>
      </c>
      <c r="AB34" s="81">
        <f>AA34*B34</f>
        <v>0</v>
      </c>
      <c r="AC34" s="67"/>
      <c r="AD34" s="8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</row>
    <row r="35" s="64" customFormat="1" ht="20.1" customHeight="1" spans="1:46">
      <c r="A35" s="73" t="s">
        <v>1707</v>
      </c>
      <c r="B35" s="72">
        <f>工程量汇总表!D34</f>
        <v>508.801</v>
      </c>
      <c r="C35" s="72">
        <f>新定额单价!E157</f>
        <v>4.1</v>
      </c>
      <c r="D35" s="70">
        <f t="shared" si="2"/>
        <v>2086.0841</v>
      </c>
      <c r="E35" s="67"/>
      <c r="F35" s="68">
        <f t="shared" si="14"/>
        <v>0</v>
      </c>
      <c r="G35" s="67"/>
      <c r="H35" s="68">
        <f t="shared" si="4"/>
        <v>0</v>
      </c>
      <c r="I35" s="67"/>
      <c r="J35" s="68">
        <f t="shared" si="13"/>
        <v>0</v>
      </c>
      <c r="K35" s="67"/>
      <c r="L35" s="67"/>
      <c r="M35" s="67"/>
      <c r="N35" s="72"/>
      <c r="O35" s="67"/>
      <c r="P35" s="67"/>
      <c r="Q35" s="67"/>
      <c r="R35" s="68"/>
      <c r="S35" s="74">
        <f>新定额单价!E168</f>
        <v>15.14288</v>
      </c>
      <c r="T35" s="68">
        <f t="shared" si="15"/>
        <v>7704.71248688</v>
      </c>
      <c r="U35" s="67">
        <f>新定额单价!E161</f>
        <v>1.0664</v>
      </c>
      <c r="V35" s="81">
        <f t="shared" si="16"/>
        <v>542.5853864</v>
      </c>
      <c r="W35" s="74"/>
      <c r="X35" s="81">
        <f t="shared" si="17"/>
        <v>0</v>
      </c>
      <c r="Y35" s="74"/>
      <c r="Z35" s="81">
        <f t="shared" si="18"/>
        <v>0</v>
      </c>
      <c r="AA35" s="67"/>
      <c r="AB35" s="81">
        <f>AA35*B35</f>
        <v>0</v>
      </c>
      <c r="AC35" s="67"/>
      <c r="AD35" s="8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</row>
    <row r="36" s="64" customFormat="1" ht="20.1" customHeight="1" spans="1:46">
      <c r="A36" s="73" t="s">
        <v>1708</v>
      </c>
      <c r="B36" s="72"/>
      <c r="C36" s="72">
        <f>新定额单价!E90*0.3+新定额单价!E157*0.2+新定额单价!E249*0.5</f>
        <v>4.266</v>
      </c>
      <c r="D36" s="70">
        <f t="shared" si="2"/>
        <v>0</v>
      </c>
      <c r="E36" s="67"/>
      <c r="F36" s="68">
        <f t="shared" si="14"/>
        <v>0</v>
      </c>
      <c r="G36" s="67"/>
      <c r="H36" s="68">
        <f t="shared" si="4"/>
        <v>0</v>
      </c>
      <c r="I36" s="67"/>
      <c r="J36" s="68">
        <f t="shared" si="13"/>
        <v>0</v>
      </c>
      <c r="K36" s="67"/>
      <c r="L36" s="67"/>
      <c r="M36" s="67"/>
      <c r="N36" s="72"/>
      <c r="O36" s="67"/>
      <c r="P36" s="67"/>
      <c r="Q36" s="67"/>
      <c r="R36" s="68"/>
      <c r="S36" s="74">
        <f>新定额单价!E262*0.5+新定额单价!E168*0.2+新定额单价!E101*0.3</f>
        <v>46.445126</v>
      </c>
      <c r="T36" s="68">
        <f t="shared" si="15"/>
        <v>0</v>
      </c>
      <c r="U36" s="67">
        <f>新定额单价!E161*0.2+新定额单价!E254*0.5</f>
        <v>0.68648</v>
      </c>
      <c r="V36" s="81">
        <f t="shared" si="16"/>
        <v>0</v>
      </c>
      <c r="W36" s="74">
        <f>新定额单价!E255*0.5</f>
        <v>0.2366</v>
      </c>
      <c r="X36" s="81">
        <f t="shared" si="17"/>
        <v>0</v>
      </c>
      <c r="Y36" s="88">
        <f>新定额单价!E256*0.5</f>
        <v>2.57985</v>
      </c>
      <c r="Z36" s="81">
        <f t="shared" si="18"/>
        <v>0</v>
      </c>
      <c r="AA36" s="67">
        <f>新定额单价!E94*0.3</f>
        <v>0.792</v>
      </c>
      <c r="AB36" s="81">
        <f>AA36*B36</f>
        <v>0</v>
      </c>
      <c r="AC36" s="67"/>
      <c r="AD36" s="85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</row>
    <row r="37" s="64" customFormat="1" ht="20.1" customHeight="1" spans="1:46">
      <c r="A37" s="73"/>
      <c r="B37" s="72"/>
      <c r="C37" s="72"/>
      <c r="D37" s="70"/>
      <c r="E37" s="67"/>
      <c r="F37" s="68"/>
      <c r="G37" s="67"/>
      <c r="H37" s="68"/>
      <c r="I37" s="67"/>
      <c r="J37" s="68"/>
      <c r="K37" s="67"/>
      <c r="L37" s="67"/>
      <c r="M37" s="67"/>
      <c r="N37" s="72"/>
      <c r="O37" s="67"/>
      <c r="P37" s="67"/>
      <c r="Q37" s="67"/>
      <c r="R37" s="68"/>
      <c r="S37" s="74"/>
      <c r="T37" s="68"/>
      <c r="U37" s="67"/>
      <c r="V37" s="81"/>
      <c r="W37" s="74"/>
      <c r="X37" s="81"/>
      <c r="Y37" s="67"/>
      <c r="Z37" s="81"/>
      <c r="AA37" s="67"/>
      <c r="AB37" s="81"/>
      <c r="AC37" s="67"/>
      <c r="AD37" s="85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</row>
    <row r="38" s="64" customFormat="1" ht="20.1" customHeight="1" spans="1:46">
      <c r="A38" s="73"/>
      <c r="B38" s="72"/>
      <c r="C38" s="72"/>
      <c r="D38" s="70"/>
      <c r="E38" s="67"/>
      <c r="F38" s="68"/>
      <c r="G38" s="67"/>
      <c r="H38" s="68"/>
      <c r="I38" s="67"/>
      <c r="J38" s="68"/>
      <c r="K38" s="67"/>
      <c r="L38" s="67"/>
      <c r="M38" s="67"/>
      <c r="N38" s="72"/>
      <c r="O38" s="67"/>
      <c r="P38" s="67"/>
      <c r="Q38" s="67"/>
      <c r="R38" s="68"/>
      <c r="S38" s="74"/>
      <c r="T38" s="68"/>
      <c r="U38" s="67"/>
      <c r="V38" s="81"/>
      <c r="W38" s="74"/>
      <c r="X38" s="81"/>
      <c r="Y38" s="67"/>
      <c r="Z38" s="81"/>
      <c r="AA38" s="67"/>
      <c r="AB38" s="81"/>
      <c r="AC38" s="67"/>
      <c r="AD38" s="85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="64" customFormat="1" ht="20.1" customHeight="1" spans="1:46">
      <c r="A39" s="73" t="s">
        <v>1709</v>
      </c>
      <c r="B39" s="72">
        <f>工程量汇总表!D38</f>
        <v>0</v>
      </c>
      <c r="C39" s="72">
        <f>新定额单价!E3711</f>
        <v>95.8</v>
      </c>
      <c r="D39" s="70">
        <f t="shared" si="2"/>
        <v>0</v>
      </c>
      <c r="E39" s="67"/>
      <c r="F39" s="68">
        <f t="shared" si="14"/>
        <v>0</v>
      </c>
      <c r="G39" s="67"/>
      <c r="H39" s="68">
        <f t="shared" si="4"/>
        <v>0</v>
      </c>
      <c r="I39" s="67"/>
      <c r="J39" s="68">
        <f t="shared" si="13"/>
        <v>0</v>
      </c>
      <c r="K39" s="67"/>
      <c r="L39" s="67"/>
      <c r="M39" s="67"/>
      <c r="N39" s="72"/>
      <c r="O39" s="67"/>
      <c r="P39" s="67"/>
      <c r="Q39" s="67">
        <f>新定额单价!D3727</f>
        <v>5.925</v>
      </c>
      <c r="R39" s="68">
        <f>Q39*B39</f>
        <v>0</v>
      </c>
      <c r="S39" s="74">
        <f>新定额单价!D3728</f>
        <v>4.58</v>
      </c>
      <c r="T39" s="68">
        <f t="shared" si="15"/>
        <v>0</v>
      </c>
      <c r="U39" s="67"/>
      <c r="V39" s="67"/>
      <c r="W39" s="67"/>
      <c r="X39" s="81">
        <f t="shared" si="17"/>
        <v>0</v>
      </c>
      <c r="Y39" s="67"/>
      <c r="Z39" s="67"/>
      <c r="AA39" s="67"/>
      <c r="AB39" s="67"/>
      <c r="AC39" s="67"/>
      <c r="AD39" s="85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="64" customFormat="1" ht="20.1" customHeight="1" spans="1:46">
      <c r="A40" s="73"/>
      <c r="B40" s="72"/>
      <c r="C40" s="72"/>
      <c r="D40" s="70"/>
      <c r="E40" s="67"/>
      <c r="F40" s="68"/>
      <c r="G40" s="67"/>
      <c r="H40" s="68"/>
      <c r="I40" s="67"/>
      <c r="J40" s="68"/>
      <c r="K40" s="67"/>
      <c r="L40" s="67"/>
      <c r="M40" s="67"/>
      <c r="N40" s="72"/>
      <c r="O40" s="67"/>
      <c r="P40" s="67"/>
      <c r="Q40" s="67"/>
      <c r="R40" s="68"/>
      <c r="S40" s="74"/>
      <c r="T40" s="68"/>
      <c r="U40" s="67"/>
      <c r="V40" s="67"/>
      <c r="W40" s="67"/>
      <c r="X40" s="67"/>
      <c r="Y40" s="67"/>
      <c r="Z40" s="67"/>
      <c r="AA40" s="67"/>
      <c r="AB40" s="67"/>
      <c r="AC40" s="67"/>
      <c r="AD40" s="85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="64" customFormat="1" ht="20.1" customHeight="1" spans="1:46">
      <c r="A41" s="77"/>
      <c r="B41" s="72"/>
      <c r="C41" s="72">
        <f>新定额单价!E3278</f>
        <v>15</v>
      </c>
      <c r="D41" s="70">
        <f t="shared" si="2"/>
        <v>0</v>
      </c>
      <c r="E41" s="67"/>
      <c r="F41" s="68"/>
      <c r="G41" s="67"/>
      <c r="H41" s="68">
        <f t="shared" si="4"/>
        <v>0</v>
      </c>
      <c r="I41" s="67"/>
      <c r="J41" s="67"/>
      <c r="K41" s="67"/>
      <c r="L41" s="67"/>
      <c r="M41" s="67"/>
      <c r="N41" s="72"/>
      <c r="O41" s="67"/>
      <c r="P41" s="67"/>
      <c r="Q41" s="67"/>
      <c r="R41" s="68"/>
      <c r="S41" s="67"/>
      <c r="T41" s="68">
        <f t="shared" si="15"/>
        <v>0</v>
      </c>
      <c r="U41" s="67"/>
      <c r="V41" s="67"/>
      <c r="W41" s="67"/>
      <c r="X41" s="67"/>
      <c r="Y41" s="67"/>
      <c r="Z41" s="67"/>
      <c r="AA41" s="67"/>
      <c r="AB41" s="67"/>
      <c r="AC41" s="67"/>
      <c r="AD41" s="85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="47" customFormat="1" ht="20.1" customHeight="1" spans="1:46">
      <c r="A42" s="67"/>
      <c r="B42" s="67"/>
      <c r="C42" s="67"/>
      <c r="D42" s="70">
        <f t="shared" si="2"/>
        <v>0</v>
      </c>
      <c r="E42" s="67"/>
      <c r="F42" s="67"/>
      <c r="G42" s="67"/>
      <c r="H42" s="68">
        <f t="shared" si="4"/>
        <v>0</v>
      </c>
      <c r="I42" s="67"/>
      <c r="J42" s="67"/>
      <c r="K42" s="67"/>
      <c r="L42" s="67"/>
      <c r="M42" s="67"/>
      <c r="N42" s="72">
        <f>M42*B42</f>
        <v>0</v>
      </c>
      <c r="O42" s="67"/>
      <c r="P42" s="67"/>
      <c r="Q42" s="67"/>
      <c r="R42" s="67"/>
      <c r="S42" s="67"/>
      <c r="T42" s="67"/>
      <c r="U42" s="82"/>
      <c r="V42" s="82"/>
      <c r="W42" s="82"/>
      <c r="X42" s="82"/>
      <c r="Y42" s="82"/>
      <c r="Z42" s="82"/>
      <c r="AA42" s="82"/>
      <c r="AB42" s="82"/>
      <c r="AC42" s="82"/>
      <c r="AD42" s="89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</row>
    <row r="43" s="47" customFormat="1" ht="20.1" customHeight="1" spans="21:46">
      <c r="U43" s="83"/>
      <c r="V43" s="83"/>
      <c r="W43" s="83"/>
      <c r="X43" s="83"/>
      <c r="Y43" s="83"/>
      <c r="Z43" s="83"/>
      <c r="AA43" s="83"/>
      <c r="AB43" s="83"/>
      <c r="AC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</row>
    <row r="44" s="47" customFormat="1" ht="20.1" customHeight="1" spans="21:38">
      <c r="U44" s="83"/>
      <c r="V44" s="83"/>
      <c r="W44" s="83"/>
      <c r="X44" s="83"/>
      <c r="Y44" s="83"/>
      <c r="Z44" s="83"/>
      <c r="AA44" s="83"/>
      <c r="AB44" s="83"/>
      <c r="AC44" s="83"/>
      <c r="AE44" s="83"/>
      <c r="AF44" s="83"/>
      <c r="AG44" s="83"/>
      <c r="AH44" s="83"/>
      <c r="AI44" s="83"/>
      <c r="AJ44" s="83"/>
      <c r="AK44" s="83"/>
      <c r="AL44" s="83"/>
    </row>
    <row r="45" ht="20.1" customHeight="1"/>
    <row r="46" ht="20.1" customHeight="1" spans="2:2">
      <c r="B46" s="78">
        <f>B21+B33+B35</f>
        <v>537.08972625</v>
      </c>
    </row>
    <row r="47" ht="20.1" customHeight="1"/>
    <row r="48" ht="20.1" customHeight="1"/>
    <row r="49" ht="20.1" customHeight="1"/>
    <row r="50" ht="20.1" customHeight="1"/>
    <row r="51" ht="20.1" customHeight="1"/>
    <row r="52" ht="20.1" customHeight="1"/>
  </sheetData>
  <sheetProtection formatCells="0" insertHyperlinks="0" autoFilter="0"/>
  <mergeCells count="22"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</mergeCells>
  <pageMargins left="0.75" right="0.75" top="1" bottom="1" header="0.5" footer="0.5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tabColor indexed="50"/>
  </sheetPr>
  <dimension ref="A1:O32"/>
  <sheetViews>
    <sheetView workbookViewId="0">
      <selection activeCell="C22" sqref="C22:H22"/>
    </sheetView>
  </sheetViews>
  <sheetFormatPr defaultColWidth="9" defaultRowHeight="15.75"/>
  <cols>
    <col min="1" max="1" width="4.75" style="46" customWidth="1"/>
    <col min="2" max="2" width="21.125" style="47" customWidth="1"/>
    <col min="3" max="7" width="8.25" style="47" customWidth="1"/>
    <col min="8" max="8" width="10" style="47" customWidth="1"/>
    <col min="9" max="16384" width="9" style="47"/>
  </cols>
  <sheetData>
    <row r="1" s="44" customFormat="1" ht="61.5" customHeight="1" spans="1:15">
      <c r="A1" s="48" t="s">
        <v>1710</v>
      </c>
      <c r="B1" s="48"/>
      <c r="C1" s="48"/>
      <c r="D1" s="48"/>
      <c r="E1" s="48"/>
      <c r="F1" s="48"/>
      <c r="G1" s="48"/>
      <c r="H1" s="48"/>
      <c r="J1" s="61"/>
      <c r="K1" s="61"/>
      <c r="L1" s="61"/>
      <c r="M1" s="61"/>
      <c r="N1" s="61"/>
      <c r="O1" s="61"/>
    </row>
    <row r="2" ht="18.75" customHeight="1" spans="1:8">
      <c r="A2" s="49" t="s">
        <v>1711</v>
      </c>
      <c r="B2" s="50"/>
      <c r="C2" s="50"/>
      <c r="D2" s="50"/>
      <c r="E2" s="50"/>
      <c r="F2" s="50"/>
      <c r="G2" s="50"/>
      <c r="H2" s="50"/>
    </row>
    <row r="3" ht="18.75" customHeight="1" spans="1:8">
      <c r="A3" s="7" t="s">
        <v>1</v>
      </c>
      <c r="B3" s="7" t="s">
        <v>1712</v>
      </c>
      <c r="C3" s="7" t="s">
        <v>1713</v>
      </c>
      <c r="D3" s="7" t="s">
        <v>1096</v>
      </c>
      <c r="E3" s="7" t="s">
        <v>847</v>
      </c>
      <c r="F3" s="7" t="s">
        <v>1714</v>
      </c>
      <c r="G3" s="7" t="s">
        <v>1715</v>
      </c>
      <c r="H3" s="7" t="s">
        <v>1716</v>
      </c>
    </row>
    <row r="4" ht="18.75" customHeight="1" spans="1:8">
      <c r="A4" s="7">
        <v>1</v>
      </c>
      <c r="B4" s="11" t="s">
        <v>1717</v>
      </c>
      <c r="C4" s="51">
        <v>0.048</v>
      </c>
      <c r="D4" s="51"/>
      <c r="E4" s="51">
        <v>0.04</v>
      </c>
      <c r="F4" s="51">
        <v>0.05</v>
      </c>
      <c r="G4" s="51">
        <v>0.09</v>
      </c>
      <c r="H4" s="52">
        <v>0.03</v>
      </c>
    </row>
    <row r="5" ht="18.75" customHeight="1" spans="1:8">
      <c r="A5" s="7">
        <v>2</v>
      </c>
      <c r="B5" s="11" t="s">
        <v>1718</v>
      </c>
      <c r="C5" s="51">
        <v>0.048</v>
      </c>
      <c r="D5" s="51"/>
      <c r="E5" s="51">
        <v>0.085</v>
      </c>
      <c r="F5" s="51">
        <v>0.05</v>
      </c>
      <c r="G5" s="51">
        <f t="shared" ref="G5:G12" si="0">G4</f>
        <v>0.09</v>
      </c>
      <c r="H5" s="52">
        <f t="shared" ref="H5:H12" si="1">H4</f>
        <v>0.03</v>
      </c>
    </row>
    <row r="6" ht="18.75" customHeight="1" spans="1:8">
      <c r="A6" s="7">
        <v>3</v>
      </c>
      <c r="B6" s="11" t="s">
        <v>1719</v>
      </c>
      <c r="C6" s="51">
        <v>0.048</v>
      </c>
      <c r="D6" s="51"/>
      <c r="E6" s="51">
        <v>0.085</v>
      </c>
      <c r="F6" s="51">
        <v>0.07</v>
      </c>
      <c r="G6" s="51">
        <f t="shared" si="0"/>
        <v>0.09</v>
      </c>
      <c r="H6" s="52">
        <f t="shared" si="1"/>
        <v>0.03</v>
      </c>
    </row>
    <row r="7" ht="18.75" customHeight="1" spans="1:8">
      <c r="A7" s="7">
        <v>4</v>
      </c>
      <c r="B7" s="11" t="s">
        <v>1720</v>
      </c>
      <c r="C7" s="51">
        <v>0.048</v>
      </c>
      <c r="D7" s="51"/>
      <c r="E7" s="51">
        <v>0.07</v>
      </c>
      <c r="F7" s="51">
        <v>0.07</v>
      </c>
      <c r="G7" s="51">
        <f t="shared" si="0"/>
        <v>0.09</v>
      </c>
      <c r="H7" s="52">
        <f t="shared" si="1"/>
        <v>0.03</v>
      </c>
    </row>
    <row r="8" ht="18.75" customHeight="1" spans="1:8">
      <c r="A8" s="7">
        <v>5</v>
      </c>
      <c r="B8" s="11" t="s">
        <v>1721</v>
      </c>
      <c r="C8" s="51">
        <v>0.048</v>
      </c>
      <c r="D8" s="51"/>
      <c r="E8" s="51">
        <v>0.05</v>
      </c>
      <c r="F8" s="51">
        <v>0.07</v>
      </c>
      <c r="G8" s="51">
        <f t="shared" si="0"/>
        <v>0.09</v>
      </c>
      <c r="H8" s="53">
        <v>0.03</v>
      </c>
    </row>
    <row r="9" ht="18.75" customHeight="1" spans="1:8">
      <c r="A9" s="7">
        <v>6</v>
      </c>
      <c r="B9" s="11" t="s">
        <v>1722</v>
      </c>
      <c r="C9" s="51">
        <v>0.048</v>
      </c>
      <c r="D9" s="51"/>
      <c r="E9" s="51">
        <v>0.0925</v>
      </c>
      <c r="F9" s="51">
        <v>0.07</v>
      </c>
      <c r="G9" s="51">
        <f t="shared" si="0"/>
        <v>0.09</v>
      </c>
      <c r="H9" s="52">
        <f>H7</f>
        <v>0.03</v>
      </c>
    </row>
    <row r="10" ht="18.75" customHeight="1" spans="1:8">
      <c r="A10" s="7">
        <v>7</v>
      </c>
      <c r="B10" s="11" t="s">
        <v>1723</v>
      </c>
      <c r="C10" s="51">
        <v>0.048</v>
      </c>
      <c r="D10" s="51"/>
      <c r="E10" s="51">
        <v>0.0625</v>
      </c>
      <c r="F10" s="51">
        <v>0.05</v>
      </c>
      <c r="G10" s="51">
        <f t="shared" si="0"/>
        <v>0.09</v>
      </c>
      <c r="H10" s="52">
        <f t="shared" si="1"/>
        <v>0.03</v>
      </c>
    </row>
    <row r="11" ht="18.75" customHeight="1" spans="1:8">
      <c r="A11" s="7">
        <v>8</v>
      </c>
      <c r="B11" s="11" t="s">
        <v>1724</v>
      </c>
      <c r="C11" s="51">
        <v>0.055</v>
      </c>
      <c r="D11" s="51"/>
      <c r="E11" s="54">
        <v>0.7</v>
      </c>
      <c r="F11" s="51">
        <v>0.07</v>
      </c>
      <c r="G11" s="51">
        <f t="shared" si="0"/>
        <v>0.09</v>
      </c>
      <c r="H11" s="52">
        <f t="shared" si="1"/>
        <v>0.03</v>
      </c>
    </row>
    <row r="12" ht="18.75" customHeight="1" spans="1:8">
      <c r="A12" s="7">
        <v>9</v>
      </c>
      <c r="B12" s="11" t="s">
        <v>1725</v>
      </c>
      <c r="C12" s="51">
        <v>0.048</v>
      </c>
      <c r="D12" s="51"/>
      <c r="E12" s="51">
        <v>0.0725</v>
      </c>
      <c r="F12" s="51">
        <v>0.05</v>
      </c>
      <c r="G12" s="51">
        <f t="shared" si="0"/>
        <v>0.09</v>
      </c>
      <c r="H12" s="52">
        <f t="shared" si="1"/>
        <v>0.03</v>
      </c>
    </row>
    <row r="13" ht="18.75" customHeight="1" spans="1:8">
      <c r="A13" s="55"/>
      <c r="B13" s="55"/>
      <c r="C13" s="55"/>
      <c r="D13" s="55"/>
      <c r="E13" s="55"/>
      <c r="F13" s="55"/>
      <c r="G13" s="55"/>
      <c r="H13" s="55"/>
    </row>
    <row r="14" s="45" customFormat="1" ht="19.5" customHeight="1" spans="1:8">
      <c r="A14" s="56"/>
      <c r="B14" s="57"/>
      <c r="C14" s="58"/>
      <c r="D14" s="58"/>
      <c r="E14" s="58"/>
      <c r="F14" s="58"/>
      <c r="G14" s="59"/>
      <c r="H14" s="59"/>
    </row>
    <row r="15" s="45" customFormat="1" ht="19.5" customHeight="1" spans="1:8">
      <c r="A15" s="56"/>
      <c r="B15" s="57"/>
      <c r="C15" s="58"/>
      <c r="D15" s="58"/>
      <c r="E15" s="58"/>
      <c r="F15" s="58"/>
      <c r="G15" s="59"/>
      <c r="H15" s="59"/>
    </row>
    <row r="16" s="45" customFormat="1" ht="19.5" customHeight="1" spans="1:8">
      <c r="A16" s="56"/>
      <c r="B16" s="57"/>
      <c r="C16" s="58"/>
      <c r="D16" s="58"/>
      <c r="E16" s="58"/>
      <c r="F16" s="58"/>
      <c r="G16" s="59"/>
      <c r="H16" s="59"/>
    </row>
    <row r="17" s="45" customFormat="1" ht="19.5" customHeight="1" spans="1:8">
      <c r="A17" s="56"/>
      <c r="B17" s="57"/>
      <c r="C17" s="58"/>
      <c r="D17" s="58"/>
      <c r="E17" s="58"/>
      <c r="F17" s="58"/>
      <c r="G17" s="59"/>
      <c r="H17" s="59"/>
    </row>
    <row r="18" s="45" customFormat="1" ht="19.5" customHeight="1" spans="1:8">
      <c r="A18" s="56"/>
      <c r="B18" s="57"/>
      <c r="C18" s="58"/>
      <c r="D18" s="58"/>
      <c r="E18" s="58"/>
      <c r="F18" s="58"/>
      <c r="G18" s="59"/>
      <c r="H18" s="59"/>
    </row>
    <row r="19" s="45" customFormat="1" ht="19.5" customHeight="1" spans="1:8">
      <c r="A19" s="56"/>
      <c r="B19" s="57"/>
      <c r="C19" s="58"/>
      <c r="D19" s="58"/>
      <c r="E19" s="58"/>
      <c r="F19" s="58"/>
      <c r="G19" s="59"/>
      <c r="H19" s="59"/>
    </row>
    <row r="20" s="45" customFormat="1" ht="19.5" customHeight="1" spans="1:8">
      <c r="A20" s="56"/>
      <c r="B20" s="57"/>
      <c r="C20" s="58"/>
      <c r="D20" s="58"/>
      <c r="E20" s="58"/>
      <c r="F20" s="58"/>
      <c r="G20" s="59"/>
      <c r="H20" s="59"/>
    </row>
    <row r="21" spans="2:8">
      <c r="B21" s="50"/>
      <c r="C21" s="60"/>
      <c r="D21" s="60"/>
      <c r="E21" s="60"/>
      <c r="F21" s="60"/>
      <c r="G21" s="60"/>
      <c r="H21" s="60"/>
    </row>
    <row r="22" spans="2:8">
      <c r="B22" s="50"/>
      <c r="C22" s="60"/>
      <c r="D22" s="60"/>
      <c r="E22" s="60"/>
      <c r="F22" s="60"/>
      <c r="G22" s="60"/>
      <c r="H22" s="60"/>
    </row>
    <row r="23" spans="2:8">
      <c r="B23" s="50"/>
      <c r="C23" s="60"/>
      <c r="D23" s="60"/>
      <c r="E23" s="60"/>
      <c r="F23" s="60"/>
      <c r="G23" s="60"/>
      <c r="H23" s="60"/>
    </row>
    <row r="24" spans="2:8">
      <c r="B24" s="50"/>
      <c r="C24" s="60"/>
      <c r="D24" s="60"/>
      <c r="E24" s="60"/>
      <c r="F24" s="60"/>
      <c r="G24" s="60"/>
      <c r="H24" s="60"/>
    </row>
    <row r="25" spans="2:8">
      <c r="B25" s="50"/>
      <c r="C25" s="60"/>
      <c r="D25" s="60"/>
      <c r="E25" s="60"/>
      <c r="F25" s="60"/>
      <c r="G25" s="60"/>
      <c r="H25" s="60"/>
    </row>
    <row r="26" spans="2:8">
      <c r="B26" s="50"/>
      <c r="C26" s="60"/>
      <c r="D26" s="60"/>
      <c r="E26" s="60"/>
      <c r="F26" s="60"/>
      <c r="G26" s="60"/>
      <c r="H26" s="60"/>
    </row>
    <row r="27" spans="2:8">
      <c r="B27" s="50"/>
      <c r="C27" s="50"/>
      <c r="D27" s="50"/>
      <c r="E27" s="50"/>
      <c r="F27" s="50"/>
      <c r="G27" s="50"/>
      <c r="H27" s="50"/>
    </row>
    <row r="28" spans="2:8">
      <c r="B28" s="50"/>
      <c r="C28" s="50"/>
      <c r="D28" s="50"/>
      <c r="E28" s="50"/>
      <c r="F28" s="50"/>
      <c r="G28" s="50"/>
      <c r="H28" s="50"/>
    </row>
    <row r="29" spans="2:8">
      <c r="B29" s="50"/>
      <c r="C29" s="50"/>
      <c r="D29" s="50"/>
      <c r="E29" s="50"/>
      <c r="F29" s="50"/>
      <c r="G29" s="50"/>
      <c r="H29" s="50"/>
    </row>
    <row r="30" spans="2:8">
      <c r="B30" s="50"/>
      <c r="C30" s="50"/>
      <c r="D30" s="50"/>
      <c r="E30" s="50"/>
      <c r="F30" s="50"/>
      <c r="G30" s="50"/>
      <c r="H30" s="50"/>
    </row>
    <row r="31" spans="2:8">
      <c r="B31" s="50"/>
      <c r="C31" s="50"/>
      <c r="D31" s="50"/>
      <c r="E31" s="50"/>
      <c r="F31" s="50"/>
      <c r="G31" s="50"/>
      <c r="H31" s="50"/>
    </row>
    <row r="32" spans="2:8">
      <c r="B32" s="50"/>
      <c r="C32" s="50"/>
      <c r="D32" s="50"/>
      <c r="E32" s="50"/>
      <c r="F32" s="50"/>
      <c r="G32" s="50"/>
      <c r="H32" s="50"/>
    </row>
  </sheetData>
  <sheetProtection formatCells="0" insertHyperlinks="0" autoFilter="0"/>
  <mergeCells count="7">
    <mergeCell ref="A1:H1"/>
    <mergeCell ref="C21:H21"/>
    <mergeCell ref="C22:H22"/>
    <mergeCell ref="C23:H23"/>
    <mergeCell ref="C24:H24"/>
    <mergeCell ref="C25:H25"/>
    <mergeCell ref="C26:H26"/>
  </mergeCells>
  <pageMargins left="0.75" right="0.75" top="1" bottom="1" header="0.5" footer="0.5"/>
  <pageSetup paperSize="9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tabColor indexed="11"/>
  </sheetPr>
  <dimension ref="A1:K138"/>
  <sheetViews>
    <sheetView workbookViewId="0">
      <selection activeCell="O23" sqref="O23"/>
    </sheetView>
  </sheetViews>
  <sheetFormatPr defaultColWidth="9" defaultRowHeight="20.1" customHeight="1"/>
  <cols>
    <col min="1" max="1" width="8" style="1" customWidth="1"/>
    <col min="2" max="2" width="24.125" style="1" customWidth="1"/>
    <col min="3" max="3" width="10.25" style="1" customWidth="1"/>
    <col min="4" max="4" width="16.75" style="1" customWidth="1"/>
    <col min="5" max="5" width="11.5" style="1" customWidth="1"/>
    <col min="6" max="6" width="9" style="1"/>
    <col min="7" max="7" width="8" style="2" customWidth="1"/>
    <col min="8" max="8" width="21.625" style="2" customWidth="1"/>
    <col min="9" max="9" width="10.25" style="2" customWidth="1"/>
    <col min="10" max="10" width="15" style="2" customWidth="1"/>
    <col min="11" max="11" width="11.5" style="2" customWidth="1"/>
    <col min="12" max="16384" width="9" style="1"/>
  </cols>
  <sheetData>
    <row r="1" ht="33" customHeight="1" spans="1:11">
      <c r="A1" s="3" t="s">
        <v>1726</v>
      </c>
      <c r="B1" s="3"/>
      <c r="C1" s="3"/>
      <c r="D1" s="3"/>
      <c r="E1" s="3"/>
      <c r="G1" s="3" t="s">
        <v>1727</v>
      </c>
      <c r="H1" s="4"/>
      <c r="I1" s="4"/>
      <c r="J1" s="4"/>
      <c r="K1" s="4"/>
    </row>
    <row r="2" customHeight="1" spans="1:11">
      <c r="A2" s="5" t="s">
        <v>104</v>
      </c>
      <c r="B2" s="5" t="s">
        <v>835</v>
      </c>
      <c r="C2" s="5" t="s">
        <v>159</v>
      </c>
      <c r="D2" s="5" t="s">
        <v>422</v>
      </c>
      <c r="E2" s="6"/>
      <c r="G2" s="5" t="s">
        <v>104</v>
      </c>
      <c r="H2" s="5" t="s">
        <v>835</v>
      </c>
      <c r="I2" s="5" t="s">
        <v>159</v>
      </c>
      <c r="J2" s="5" t="s">
        <v>422</v>
      </c>
      <c r="K2" s="6"/>
    </row>
    <row r="3" customHeight="1" spans="1:11">
      <c r="A3" s="7">
        <v>1</v>
      </c>
      <c r="B3" s="8" t="s">
        <v>1310</v>
      </c>
      <c r="C3" s="9" t="s">
        <v>200</v>
      </c>
      <c r="D3" s="10">
        <v>330</v>
      </c>
      <c r="E3" s="8"/>
      <c r="G3" s="7">
        <v>1</v>
      </c>
      <c r="H3" s="8" t="s">
        <v>1310</v>
      </c>
      <c r="I3" s="9" t="s">
        <v>200</v>
      </c>
      <c r="J3" s="7">
        <v>100</v>
      </c>
      <c r="K3" s="32"/>
    </row>
    <row r="4" customHeight="1" spans="1:11">
      <c r="A4" s="7">
        <v>2</v>
      </c>
      <c r="B4" s="11" t="s">
        <v>951</v>
      </c>
      <c r="C4" s="9" t="s">
        <v>167</v>
      </c>
      <c r="D4" s="10">
        <v>1.35</v>
      </c>
      <c r="E4" s="8"/>
      <c r="G4" s="7">
        <v>2</v>
      </c>
      <c r="H4" s="11" t="s">
        <v>951</v>
      </c>
      <c r="I4" s="9" t="s">
        <v>167</v>
      </c>
      <c r="J4" s="7">
        <v>0.56</v>
      </c>
      <c r="K4" s="32"/>
    </row>
    <row r="5" customHeight="1" spans="1:11">
      <c r="A5" s="7">
        <v>3</v>
      </c>
      <c r="B5" s="12" t="s">
        <v>1002</v>
      </c>
      <c r="C5" s="13" t="s">
        <v>863</v>
      </c>
      <c r="D5" s="14">
        <v>5.97</v>
      </c>
      <c r="E5" s="8"/>
      <c r="G5" s="7">
        <v>3</v>
      </c>
      <c r="H5" s="15" t="s">
        <v>1002</v>
      </c>
      <c r="I5" s="7" t="s">
        <v>863</v>
      </c>
      <c r="J5" s="33">
        <v>5.97</v>
      </c>
      <c r="K5" s="32"/>
    </row>
    <row r="6" customHeight="1" spans="1:11">
      <c r="A6" s="7">
        <v>4</v>
      </c>
      <c r="B6" s="11" t="s">
        <v>1728</v>
      </c>
      <c r="C6" s="7" t="s">
        <v>363</v>
      </c>
      <c r="D6" s="10">
        <v>1.4</v>
      </c>
      <c r="E6" s="8"/>
      <c r="G6" s="7">
        <v>4</v>
      </c>
      <c r="H6" s="11" t="s">
        <v>1728</v>
      </c>
      <c r="I6" s="7" t="s">
        <v>363</v>
      </c>
      <c r="J6" s="7">
        <v>0.66</v>
      </c>
      <c r="K6" s="32"/>
    </row>
    <row r="7" customHeight="1" spans="1:11">
      <c r="A7" s="7">
        <v>5</v>
      </c>
      <c r="B7" s="16" t="s">
        <v>1341</v>
      </c>
      <c r="C7" s="7" t="s">
        <v>863</v>
      </c>
      <c r="D7" s="17">
        <v>4.2</v>
      </c>
      <c r="E7" s="8"/>
      <c r="G7" s="7">
        <v>5</v>
      </c>
      <c r="H7" s="15" t="s">
        <v>1729</v>
      </c>
      <c r="I7" s="7" t="s">
        <v>863</v>
      </c>
      <c r="J7" s="34">
        <v>0</v>
      </c>
      <c r="K7" s="32"/>
    </row>
    <row r="8" customHeight="1" spans="1:11">
      <c r="A8" s="7">
        <v>6</v>
      </c>
      <c r="B8" s="16" t="s">
        <v>1340</v>
      </c>
      <c r="C8" s="7" t="s">
        <v>863</v>
      </c>
      <c r="D8" s="17">
        <v>4.2</v>
      </c>
      <c r="E8" s="8"/>
      <c r="G8" s="7">
        <v>6</v>
      </c>
      <c r="H8" s="15" t="s">
        <v>1340</v>
      </c>
      <c r="I8" s="7" t="s">
        <v>863</v>
      </c>
      <c r="J8" s="34">
        <v>0</v>
      </c>
      <c r="K8" s="32"/>
    </row>
    <row r="9" customHeight="1" spans="1:11">
      <c r="A9" s="7">
        <v>7</v>
      </c>
      <c r="B9" s="11" t="s">
        <v>1730</v>
      </c>
      <c r="C9" s="9" t="s">
        <v>863</v>
      </c>
      <c r="D9" s="17">
        <v>2.5</v>
      </c>
      <c r="E9" s="8"/>
      <c r="G9" s="7">
        <v>7</v>
      </c>
      <c r="H9" s="11" t="s">
        <v>1730</v>
      </c>
      <c r="I9" s="9" t="s">
        <v>863</v>
      </c>
      <c r="J9" s="33">
        <v>2.5</v>
      </c>
      <c r="K9" s="32"/>
    </row>
    <row r="10" customHeight="1" spans="1:11">
      <c r="A10" s="7">
        <v>8</v>
      </c>
      <c r="B10" s="8" t="s">
        <v>1135</v>
      </c>
      <c r="C10" s="7" t="s">
        <v>863</v>
      </c>
      <c r="D10" s="17">
        <v>3</v>
      </c>
      <c r="E10" s="8"/>
      <c r="G10" s="7">
        <v>8</v>
      </c>
      <c r="H10" s="8" t="s">
        <v>1135</v>
      </c>
      <c r="I10" s="7" t="s">
        <v>863</v>
      </c>
      <c r="J10" s="33">
        <v>0</v>
      </c>
      <c r="K10" s="32"/>
    </row>
    <row r="11" customHeight="1" spans="1:11">
      <c r="A11" s="7">
        <v>9</v>
      </c>
      <c r="B11" s="11" t="s">
        <v>948</v>
      </c>
      <c r="C11" s="7" t="s">
        <v>1731</v>
      </c>
      <c r="D11" s="10">
        <v>230</v>
      </c>
      <c r="E11" s="8"/>
      <c r="G11" s="7">
        <v>9</v>
      </c>
      <c r="H11" s="11" t="s">
        <v>948</v>
      </c>
      <c r="I11" s="7" t="s">
        <v>1731</v>
      </c>
      <c r="J11" s="7">
        <v>83.97</v>
      </c>
      <c r="K11" s="32"/>
    </row>
    <row r="12" customHeight="1" spans="1:11">
      <c r="A12" s="7">
        <v>10</v>
      </c>
      <c r="B12" s="16" t="s">
        <v>1732</v>
      </c>
      <c r="C12" s="7" t="s">
        <v>863</v>
      </c>
      <c r="D12" s="17">
        <v>6.68</v>
      </c>
      <c r="E12" s="8"/>
      <c r="G12" s="7">
        <v>10</v>
      </c>
      <c r="H12" s="15" t="s">
        <v>1732</v>
      </c>
      <c r="I12" s="35" t="s">
        <v>863</v>
      </c>
      <c r="J12" s="33">
        <v>4.44</v>
      </c>
      <c r="K12" s="32"/>
    </row>
    <row r="13" customHeight="1" spans="1:11">
      <c r="A13" s="7">
        <v>11</v>
      </c>
      <c r="B13" s="8" t="s">
        <v>1733</v>
      </c>
      <c r="C13" s="7" t="s">
        <v>169</v>
      </c>
      <c r="D13" s="18">
        <v>14000</v>
      </c>
      <c r="E13" s="8"/>
      <c r="G13" s="7">
        <v>11</v>
      </c>
      <c r="H13" s="8" t="s">
        <v>1733</v>
      </c>
      <c r="I13" s="7" t="s">
        <v>169</v>
      </c>
      <c r="J13" s="36">
        <v>14000</v>
      </c>
      <c r="K13" s="32"/>
    </row>
    <row r="14" customHeight="1" spans="1:11">
      <c r="A14" s="7">
        <v>12</v>
      </c>
      <c r="B14" s="16" t="s">
        <v>1343</v>
      </c>
      <c r="C14" s="7" t="s">
        <v>863</v>
      </c>
      <c r="D14" s="17">
        <v>5.5</v>
      </c>
      <c r="E14" s="8"/>
      <c r="G14" s="7">
        <v>12</v>
      </c>
      <c r="H14" s="15" t="s">
        <v>1343</v>
      </c>
      <c r="I14" s="7" t="s">
        <v>863</v>
      </c>
      <c r="J14" s="33">
        <v>5.5</v>
      </c>
      <c r="K14" s="32"/>
    </row>
    <row r="15" customHeight="1" spans="1:11">
      <c r="A15" s="7">
        <v>13</v>
      </c>
      <c r="B15" s="8" t="s">
        <v>996</v>
      </c>
      <c r="C15" s="7" t="s">
        <v>169</v>
      </c>
      <c r="D15" s="17">
        <v>1150</v>
      </c>
      <c r="E15" s="8"/>
      <c r="G15" s="7">
        <v>13</v>
      </c>
      <c r="H15" s="8" t="s">
        <v>996</v>
      </c>
      <c r="I15" s="35" t="s">
        <v>1734</v>
      </c>
      <c r="J15" s="33">
        <v>0</v>
      </c>
      <c r="K15" s="32"/>
    </row>
    <row r="16" customHeight="1" spans="1:11">
      <c r="A16" s="7">
        <v>14</v>
      </c>
      <c r="B16" s="12" t="s">
        <v>999</v>
      </c>
      <c r="C16" s="13" t="s">
        <v>863</v>
      </c>
      <c r="D16" s="14">
        <v>5.15</v>
      </c>
      <c r="E16" s="8"/>
      <c r="G16" s="7">
        <v>14</v>
      </c>
      <c r="H16" s="15" t="s">
        <v>999</v>
      </c>
      <c r="I16" s="7" t="s">
        <v>863</v>
      </c>
      <c r="J16" s="33">
        <v>5.15</v>
      </c>
      <c r="K16" s="32"/>
    </row>
    <row r="17" customHeight="1" spans="1:11">
      <c r="A17" s="7">
        <v>15</v>
      </c>
      <c r="B17" s="8" t="s">
        <v>966</v>
      </c>
      <c r="C17" s="7" t="s">
        <v>169</v>
      </c>
      <c r="D17" s="10">
        <v>40</v>
      </c>
      <c r="E17" s="8"/>
      <c r="G17" s="7">
        <v>15</v>
      </c>
      <c r="H17" s="8" t="s">
        <v>966</v>
      </c>
      <c r="I17" s="7" t="s">
        <v>169</v>
      </c>
      <c r="J17" s="7">
        <v>0</v>
      </c>
      <c r="K17" s="32"/>
    </row>
    <row r="18" customHeight="1" spans="1:11">
      <c r="A18" s="7">
        <v>16</v>
      </c>
      <c r="B18" s="11" t="s">
        <v>950</v>
      </c>
      <c r="C18" s="7" t="s">
        <v>363</v>
      </c>
      <c r="D18" s="10">
        <v>1.4</v>
      </c>
      <c r="E18" s="8"/>
      <c r="G18" s="7">
        <v>16</v>
      </c>
      <c r="H18" s="11" t="s">
        <v>950</v>
      </c>
      <c r="I18" s="7" t="s">
        <v>363</v>
      </c>
      <c r="J18" s="7">
        <v>0.66</v>
      </c>
      <c r="K18" s="32"/>
    </row>
    <row r="19" customHeight="1" spans="1:11">
      <c r="A19" s="7">
        <v>17</v>
      </c>
      <c r="B19" s="8" t="s">
        <v>1233</v>
      </c>
      <c r="C19" s="9" t="s">
        <v>200</v>
      </c>
      <c r="D19" s="17">
        <v>6</v>
      </c>
      <c r="E19" s="8"/>
      <c r="G19" s="7">
        <v>17</v>
      </c>
      <c r="H19" s="8" t="s">
        <v>1233</v>
      </c>
      <c r="I19" s="9" t="s">
        <v>200</v>
      </c>
      <c r="J19" s="33">
        <v>2</v>
      </c>
      <c r="K19" s="32"/>
    </row>
    <row r="20" customHeight="1" spans="1:11">
      <c r="A20" s="7">
        <v>18</v>
      </c>
      <c r="B20" s="11" t="s">
        <v>1159</v>
      </c>
      <c r="C20" s="7" t="s">
        <v>1735</v>
      </c>
      <c r="D20" s="17">
        <v>4.9</v>
      </c>
      <c r="E20" s="8"/>
      <c r="G20" s="7">
        <v>18</v>
      </c>
      <c r="H20" s="19" t="s">
        <v>1159</v>
      </c>
      <c r="I20" s="35" t="s">
        <v>1735</v>
      </c>
      <c r="J20" s="33">
        <v>4.85</v>
      </c>
      <c r="K20" s="32"/>
    </row>
    <row r="21" customHeight="1" spans="1:11">
      <c r="A21" s="7">
        <v>19</v>
      </c>
      <c r="B21" s="20" t="s">
        <v>1736</v>
      </c>
      <c r="C21" s="21" t="s">
        <v>1737</v>
      </c>
      <c r="D21" s="22">
        <v>35</v>
      </c>
      <c r="E21" s="8"/>
      <c r="G21" s="7">
        <v>19</v>
      </c>
      <c r="H21" s="23" t="s">
        <v>1736</v>
      </c>
      <c r="I21" s="37" t="s">
        <v>1738</v>
      </c>
      <c r="J21" s="38">
        <v>0</v>
      </c>
      <c r="K21" s="32"/>
    </row>
    <row r="22" customHeight="1" spans="1:11">
      <c r="A22" s="7">
        <v>20</v>
      </c>
      <c r="B22" s="11" t="s">
        <v>1739</v>
      </c>
      <c r="C22" s="7" t="s">
        <v>1735</v>
      </c>
      <c r="D22" s="17">
        <v>5.74</v>
      </c>
      <c r="E22" s="8"/>
      <c r="G22" s="7">
        <v>20</v>
      </c>
      <c r="H22" s="19" t="s">
        <v>1739</v>
      </c>
      <c r="I22" s="35" t="s">
        <v>1735</v>
      </c>
      <c r="J22" s="33">
        <v>5.74</v>
      </c>
      <c r="K22" s="32"/>
    </row>
    <row r="23" customHeight="1" spans="1:11">
      <c r="A23" s="7">
        <v>21</v>
      </c>
      <c r="B23" s="16" t="s">
        <v>1161</v>
      </c>
      <c r="C23" s="7" t="s">
        <v>863</v>
      </c>
      <c r="D23" s="17">
        <v>0.45</v>
      </c>
      <c r="E23" s="8"/>
      <c r="G23" s="7">
        <v>21</v>
      </c>
      <c r="H23" s="15" t="s">
        <v>1161</v>
      </c>
      <c r="I23" s="7" t="s">
        <v>863</v>
      </c>
      <c r="J23" s="33">
        <v>0.18</v>
      </c>
      <c r="K23" s="32"/>
    </row>
    <row r="24" customHeight="1" spans="1:11">
      <c r="A24" s="7">
        <v>22</v>
      </c>
      <c r="B24" s="16" t="s">
        <v>1166</v>
      </c>
      <c r="C24" s="7" t="s">
        <v>169</v>
      </c>
      <c r="D24" s="17">
        <v>30</v>
      </c>
      <c r="E24" s="8"/>
      <c r="G24" s="7">
        <v>22</v>
      </c>
      <c r="H24" s="15" t="s">
        <v>1166</v>
      </c>
      <c r="I24" s="7" t="s">
        <v>169</v>
      </c>
      <c r="J24" s="33">
        <v>0</v>
      </c>
      <c r="K24" s="32"/>
    </row>
    <row r="25" customHeight="1" spans="1:11">
      <c r="A25" s="7">
        <v>23</v>
      </c>
      <c r="B25" s="8" t="s">
        <v>1234</v>
      </c>
      <c r="C25" s="7" t="s">
        <v>169</v>
      </c>
      <c r="D25" s="17">
        <v>35</v>
      </c>
      <c r="E25" s="8"/>
      <c r="G25" s="7">
        <v>23</v>
      </c>
      <c r="H25" s="8" t="s">
        <v>1234</v>
      </c>
      <c r="I25" s="7" t="s">
        <v>169</v>
      </c>
      <c r="J25" s="33">
        <v>0</v>
      </c>
      <c r="K25" s="32"/>
    </row>
    <row r="26" customHeight="1" spans="1:11">
      <c r="A26" s="7">
        <v>24</v>
      </c>
      <c r="B26" s="8" t="s">
        <v>1740</v>
      </c>
      <c r="C26" s="7" t="s">
        <v>863</v>
      </c>
      <c r="D26" s="17">
        <v>5</v>
      </c>
      <c r="E26" s="8"/>
      <c r="G26" s="7">
        <v>24</v>
      </c>
      <c r="H26" s="8" t="s">
        <v>1740</v>
      </c>
      <c r="I26" s="7" t="s">
        <v>863</v>
      </c>
      <c r="J26" s="34">
        <v>5</v>
      </c>
      <c r="K26" s="32"/>
    </row>
    <row r="27" customHeight="1" spans="1:11">
      <c r="A27" s="7">
        <v>25</v>
      </c>
      <c r="B27" s="8" t="s">
        <v>1741</v>
      </c>
      <c r="C27" s="9" t="s">
        <v>167</v>
      </c>
      <c r="D27" s="17">
        <v>116</v>
      </c>
      <c r="E27" s="8"/>
      <c r="G27" s="7">
        <v>25</v>
      </c>
      <c r="H27" s="8" t="s">
        <v>1741</v>
      </c>
      <c r="I27" s="9" t="s">
        <v>167</v>
      </c>
      <c r="J27" s="33">
        <v>116</v>
      </c>
      <c r="K27" s="32"/>
    </row>
    <row r="28" customHeight="1" spans="1:11">
      <c r="A28" s="7">
        <v>26</v>
      </c>
      <c r="B28" s="12" t="s">
        <v>1000</v>
      </c>
      <c r="C28" s="13" t="s">
        <v>863</v>
      </c>
      <c r="D28" s="14">
        <v>4.5</v>
      </c>
      <c r="E28" s="8"/>
      <c r="G28" s="7">
        <v>26</v>
      </c>
      <c r="H28" s="15" t="s">
        <v>1000</v>
      </c>
      <c r="I28" s="7" t="s">
        <v>863</v>
      </c>
      <c r="J28" s="33">
        <v>4.5</v>
      </c>
      <c r="K28" s="32"/>
    </row>
    <row r="29" customHeight="1" spans="1:11">
      <c r="A29" s="7">
        <v>27</v>
      </c>
      <c r="B29" s="12" t="s">
        <v>1136</v>
      </c>
      <c r="C29" s="13" t="s">
        <v>863</v>
      </c>
      <c r="D29" s="14">
        <v>5</v>
      </c>
      <c r="E29" s="8"/>
      <c r="G29" s="7">
        <v>27</v>
      </c>
      <c r="H29" s="15" t="s">
        <v>1136</v>
      </c>
      <c r="I29" s="7" t="s">
        <v>863</v>
      </c>
      <c r="J29" s="33">
        <v>5</v>
      </c>
      <c r="K29" s="32"/>
    </row>
    <row r="30" customHeight="1" spans="1:11">
      <c r="A30" s="7">
        <v>28</v>
      </c>
      <c r="B30" s="12" t="s">
        <v>998</v>
      </c>
      <c r="C30" s="13" t="s">
        <v>863</v>
      </c>
      <c r="D30" s="14">
        <v>4.5</v>
      </c>
      <c r="E30" s="8"/>
      <c r="G30" s="7">
        <v>28</v>
      </c>
      <c r="H30" s="15" t="s">
        <v>998</v>
      </c>
      <c r="I30" s="7" t="s">
        <v>863</v>
      </c>
      <c r="J30" s="33">
        <v>4.5</v>
      </c>
      <c r="K30" s="32"/>
    </row>
    <row r="31" customHeight="1" spans="1:11">
      <c r="A31" s="7">
        <v>29</v>
      </c>
      <c r="B31" s="12" t="s">
        <v>1116</v>
      </c>
      <c r="C31" s="13" t="s">
        <v>863</v>
      </c>
      <c r="D31" s="14">
        <v>7.99</v>
      </c>
      <c r="E31" s="8"/>
      <c r="G31" s="7">
        <v>29</v>
      </c>
      <c r="H31" s="16" t="s">
        <v>1116</v>
      </c>
      <c r="I31" s="7" t="s">
        <v>863</v>
      </c>
      <c r="J31" s="34">
        <v>7.99</v>
      </c>
      <c r="K31" s="32"/>
    </row>
    <row r="32" customHeight="1" spans="1:11">
      <c r="A32" s="7">
        <v>30</v>
      </c>
      <c r="B32" s="12" t="s">
        <v>1001</v>
      </c>
      <c r="C32" s="13" t="s">
        <v>863</v>
      </c>
      <c r="D32" s="14">
        <v>6.39</v>
      </c>
      <c r="E32" s="8"/>
      <c r="G32" s="7">
        <v>30</v>
      </c>
      <c r="H32" s="16" t="s">
        <v>1001</v>
      </c>
      <c r="I32" s="7" t="s">
        <v>863</v>
      </c>
      <c r="J32" s="34">
        <v>5.5</v>
      </c>
      <c r="K32" s="32"/>
    </row>
    <row r="33" customHeight="1" spans="1:11">
      <c r="A33" s="7">
        <v>31</v>
      </c>
      <c r="B33" s="8" t="s">
        <v>1742</v>
      </c>
      <c r="C33" s="9" t="s">
        <v>1173</v>
      </c>
      <c r="D33" s="17">
        <v>2.5</v>
      </c>
      <c r="E33" s="8"/>
      <c r="G33" s="7">
        <v>31</v>
      </c>
      <c r="H33" s="8" t="s">
        <v>1742</v>
      </c>
      <c r="I33" s="9" t="s">
        <v>1173</v>
      </c>
      <c r="J33" s="33">
        <v>2.5</v>
      </c>
      <c r="K33" s="32"/>
    </row>
    <row r="34" customHeight="1" spans="1:11">
      <c r="A34" s="7">
        <v>32</v>
      </c>
      <c r="B34" s="24" t="s">
        <v>1743</v>
      </c>
      <c r="C34" s="25" t="s">
        <v>863</v>
      </c>
      <c r="D34" s="26">
        <v>4.44</v>
      </c>
      <c r="E34" s="8"/>
      <c r="G34" s="7">
        <v>32</v>
      </c>
      <c r="H34" s="23" t="s">
        <v>1743</v>
      </c>
      <c r="I34" s="39" t="s">
        <v>863</v>
      </c>
      <c r="J34" s="38">
        <v>0</v>
      </c>
      <c r="K34" s="32"/>
    </row>
    <row r="35" customHeight="1" spans="1:11">
      <c r="A35" s="7">
        <v>33</v>
      </c>
      <c r="B35" s="16" t="s">
        <v>1122</v>
      </c>
      <c r="C35" s="7" t="s">
        <v>169</v>
      </c>
      <c r="D35" s="17">
        <v>1220.8</v>
      </c>
      <c r="E35" s="8"/>
      <c r="G35" s="7">
        <v>33</v>
      </c>
      <c r="H35" s="16" t="s">
        <v>1122</v>
      </c>
      <c r="I35" s="7" t="s">
        <v>169</v>
      </c>
      <c r="J35" s="34">
        <v>0</v>
      </c>
      <c r="K35" s="32"/>
    </row>
    <row r="36" customHeight="1" spans="1:11">
      <c r="A36" s="7">
        <v>34</v>
      </c>
      <c r="B36" s="11" t="s">
        <v>949</v>
      </c>
      <c r="C36" s="9" t="s">
        <v>863</v>
      </c>
      <c r="D36" s="10">
        <v>11</v>
      </c>
      <c r="E36" s="8"/>
      <c r="G36" s="7">
        <v>34</v>
      </c>
      <c r="H36" s="11" t="s">
        <v>949</v>
      </c>
      <c r="I36" s="9" t="s">
        <v>863</v>
      </c>
      <c r="J36" s="7">
        <v>3.96</v>
      </c>
      <c r="K36" s="32"/>
    </row>
    <row r="37" customHeight="1" spans="1:11">
      <c r="A37" s="7">
        <v>35</v>
      </c>
      <c r="B37" s="16" t="s">
        <v>997</v>
      </c>
      <c r="C37" s="7" t="s">
        <v>863</v>
      </c>
      <c r="D37" s="17">
        <v>4.44</v>
      </c>
      <c r="E37" s="8"/>
      <c r="G37" s="7">
        <v>35</v>
      </c>
      <c r="H37" s="15" t="s">
        <v>997</v>
      </c>
      <c r="I37" s="7" t="s">
        <v>863</v>
      </c>
      <c r="J37" s="33">
        <v>0</v>
      </c>
      <c r="K37" s="32"/>
    </row>
    <row r="38" customHeight="1" spans="1:11">
      <c r="A38" s="7">
        <v>36</v>
      </c>
      <c r="B38" s="11" t="s">
        <v>1744</v>
      </c>
      <c r="C38" s="9" t="s">
        <v>167</v>
      </c>
      <c r="D38" s="10">
        <v>15.08</v>
      </c>
      <c r="E38" s="8"/>
      <c r="G38" s="7">
        <v>36</v>
      </c>
      <c r="H38" s="11" t="s">
        <v>1744</v>
      </c>
      <c r="I38" s="9" t="s">
        <v>167</v>
      </c>
      <c r="J38" s="7">
        <v>15.08</v>
      </c>
      <c r="K38" s="32"/>
    </row>
    <row r="39" customHeight="1" spans="1:11">
      <c r="A39" s="7">
        <v>43</v>
      </c>
      <c r="B39" s="16" t="s">
        <v>1342</v>
      </c>
      <c r="C39" s="7" t="s">
        <v>169</v>
      </c>
      <c r="D39" s="10">
        <v>6.63</v>
      </c>
      <c r="E39" s="8"/>
      <c r="G39" s="7">
        <v>37</v>
      </c>
      <c r="H39" s="11" t="s">
        <v>1745</v>
      </c>
      <c r="I39" s="9" t="s">
        <v>167</v>
      </c>
      <c r="J39" s="40">
        <v>1785</v>
      </c>
      <c r="K39" s="32"/>
    </row>
    <row r="40" customHeight="1" spans="1:11">
      <c r="A40" s="7">
        <v>44</v>
      </c>
      <c r="B40" s="8" t="s">
        <v>1746</v>
      </c>
      <c r="C40" s="9" t="s">
        <v>863</v>
      </c>
      <c r="D40" s="10">
        <v>4.5</v>
      </c>
      <c r="E40" s="8"/>
      <c r="G40" s="7">
        <v>38</v>
      </c>
      <c r="H40" s="11" t="s">
        <v>1747</v>
      </c>
      <c r="I40" s="9" t="s">
        <v>167</v>
      </c>
      <c r="J40" s="40">
        <v>1362</v>
      </c>
      <c r="K40" s="32"/>
    </row>
    <row r="41" customHeight="1" spans="1:11">
      <c r="A41" s="7">
        <v>45</v>
      </c>
      <c r="B41" s="8" t="s">
        <v>1748</v>
      </c>
      <c r="C41" s="9" t="s">
        <v>863</v>
      </c>
      <c r="D41" s="27">
        <v>4.8</v>
      </c>
      <c r="E41" s="8"/>
      <c r="G41" s="7">
        <v>39</v>
      </c>
      <c r="H41" s="11" t="s">
        <v>1749</v>
      </c>
      <c r="I41" s="9" t="s">
        <v>167</v>
      </c>
      <c r="J41" s="40">
        <v>1048</v>
      </c>
      <c r="K41" s="32"/>
    </row>
    <row r="42" customHeight="1" spans="1:11">
      <c r="A42" s="7">
        <v>46</v>
      </c>
      <c r="B42" s="8" t="s">
        <v>1750</v>
      </c>
      <c r="C42" s="9" t="s">
        <v>167</v>
      </c>
      <c r="D42" s="10">
        <v>537</v>
      </c>
      <c r="E42" s="8"/>
      <c r="G42" s="7">
        <v>40</v>
      </c>
      <c r="H42" s="11" t="s">
        <v>1751</v>
      </c>
      <c r="I42" s="9" t="s">
        <v>167</v>
      </c>
      <c r="J42" s="40">
        <v>790</v>
      </c>
      <c r="K42" s="32"/>
    </row>
    <row r="43" customHeight="1" spans="1:11">
      <c r="A43" s="7">
        <v>47</v>
      </c>
      <c r="B43" s="8" t="s">
        <v>1752</v>
      </c>
      <c r="C43" s="7" t="s">
        <v>363</v>
      </c>
      <c r="D43" s="10">
        <f>0.15*0.15*0.04*60000</f>
        <v>54</v>
      </c>
      <c r="E43" s="8"/>
      <c r="G43" s="7">
        <v>41</v>
      </c>
      <c r="H43" s="11" t="s">
        <v>1753</v>
      </c>
      <c r="I43" s="9" t="s">
        <v>167</v>
      </c>
      <c r="J43" s="40">
        <v>677</v>
      </c>
      <c r="K43" s="32"/>
    </row>
    <row r="44" customHeight="1" spans="1:11">
      <c r="A44" s="7">
        <v>48</v>
      </c>
      <c r="B44" s="11" t="s">
        <v>1754</v>
      </c>
      <c r="C44" s="9" t="s">
        <v>167</v>
      </c>
      <c r="D44" s="10">
        <v>10</v>
      </c>
      <c r="E44" s="8"/>
      <c r="G44" s="7">
        <v>42</v>
      </c>
      <c r="H44" s="11" t="s">
        <v>1755</v>
      </c>
      <c r="I44" s="9" t="s">
        <v>167</v>
      </c>
      <c r="J44" s="41">
        <v>376.44</v>
      </c>
      <c r="K44" s="32"/>
    </row>
    <row r="45" customHeight="1" spans="1:11">
      <c r="A45" s="7">
        <v>49</v>
      </c>
      <c r="B45" s="28" t="s">
        <v>1756</v>
      </c>
      <c r="C45" s="9" t="s">
        <v>167</v>
      </c>
      <c r="D45" s="10">
        <v>19.5</v>
      </c>
      <c r="E45" s="8"/>
      <c r="G45" s="7">
        <v>43</v>
      </c>
      <c r="H45" s="16" t="s">
        <v>1342</v>
      </c>
      <c r="I45" s="7" t="s">
        <v>169</v>
      </c>
      <c r="J45" s="7">
        <v>6.63</v>
      </c>
      <c r="K45" s="32"/>
    </row>
    <row r="46" customHeight="1" spans="1:11">
      <c r="A46" s="8"/>
      <c r="B46" s="8"/>
      <c r="C46" s="8"/>
      <c r="D46" s="8"/>
      <c r="E46" s="8"/>
      <c r="G46" s="7">
        <v>44</v>
      </c>
      <c r="H46" s="8" t="s">
        <v>1746</v>
      </c>
      <c r="I46" s="9" t="s">
        <v>863</v>
      </c>
      <c r="J46" s="7">
        <v>3.9</v>
      </c>
      <c r="K46" s="32"/>
    </row>
    <row r="47" customHeight="1" spans="1:11">
      <c r="A47" s="8"/>
      <c r="B47" s="8"/>
      <c r="C47" s="8"/>
      <c r="D47" s="8"/>
      <c r="E47" s="8"/>
      <c r="G47" s="7">
        <v>45</v>
      </c>
      <c r="H47" s="8" t="s">
        <v>1748</v>
      </c>
      <c r="I47" s="9" t="s">
        <v>863</v>
      </c>
      <c r="J47" s="42">
        <v>4</v>
      </c>
      <c r="K47" s="32"/>
    </row>
    <row r="48" customHeight="1" spans="1:11">
      <c r="A48" s="8"/>
      <c r="B48" s="8"/>
      <c r="C48" s="8"/>
      <c r="D48" s="8"/>
      <c r="E48" s="8"/>
      <c r="G48" s="7">
        <v>46</v>
      </c>
      <c r="H48" s="8" t="s">
        <v>1750</v>
      </c>
      <c r="I48" s="9" t="s">
        <v>167</v>
      </c>
      <c r="J48" s="7">
        <v>537</v>
      </c>
      <c r="K48" s="32"/>
    </row>
    <row r="49" customHeight="1" spans="1:11">
      <c r="A49" s="8"/>
      <c r="B49" s="8"/>
      <c r="C49" s="8"/>
      <c r="D49" s="8"/>
      <c r="E49" s="8"/>
      <c r="G49" s="7">
        <v>47</v>
      </c>
      <c r="H49" s="8" t="s">
        <v>1752</v>
      </c>
      <c r="I49" s="7" t="s">
        <v>363</v>
      </c>
      <c r="J49" s="7">
        <v>54</v>
      </c>
      <c r="K49" s="32"/>
    </row>
    <row r="50" customHeight="1" spans="1:11">
      <c r="A50" s="8"/>
      <c r="B50" s="8"/>
      <c r="C50" s="8"/>
      <c r="D50" s="8"/>
      <c r="E50" s="8"/>
      <c r="G50" s="7">
        <v>48</v>
      </c>
      <c r="H50" s="11" t="s">
        <v>1754</v>
      </c>
      <c r="I50" s="9" t="s">
        <v>167</v>
      </c>
      <c r="J50" s="7">
        <v>10</v>
      </c>
      <c r="K50" s="32"/>
    </row>
    <row r="51" customHeight="1" spans="1:11">
      <c r="A51" s="29"/>
      <c r="B51" s="29"/>
      <c r="C51" s="29"/>
      <c r="D51" s="29"/>
      <c r="E51" s="29"/>
      <c r="G51" s="7">
        <v>49</v>
      </c>
      <c r="H51" s="28" t="s">
        <v>1756</v>
      </c>
      <c r="I51" s="9" t="s">
        <v>167</v>
      </c>
      <c r="J51" s="7">
        <v>19.5</v>
      </c>
      <c r="K51" s="32"/>
    </row>
    <row r="52" customHeight="1" spans="1:11">
      <c r="A52" s="29"/>
      <c r="B52" s="29"/>
      <c r="C52" s="29"/>
      <c r="D52" s="29"/>
      <c r="E52" s="29"/>
      <c r="G52" s="30"/>
      <c r="H52" s="30"/>
      <c r="I52" s="30"/>
      <c r="J52" s="43"/>
      <c r="K52" s="31"/>
    </row>
    <row r="53" customHeight="1" spans="1:11">
      <c r="A53" s="29"/>
      <c r="B53" s="29"/>
      <c r="C53" s="29"/>
      <c r="D53" s="29"/>
      <c r="E53" s="29"/>
      <c r="G53" s="31"/>
      <c r="H53" s="31"/>
      <c r="I53" s="31"/>
      <c r="J53" s="31"/>
      <c r="K53" s="31"/>
    </row>
    <row r="54" customHeight="1" spans="1:11">
      <c r="A54" s="29"/>
      <c r="B54" s="29"/>
      <c r="C54" s="29"/>
      <c r="D54" s="29"/>
      <c r="E54" s="29"/>
      <c r="G54" s="31"/>
      <c r="H54" s="31"/>
      <c r="I54" s="31"/>
      <c r="J54" s="31"/>
      <c r="K54" s="31"/>
    </row>
    <row r="55" customHeight="1" spans="1:11">
      <c r="A55" s="29"/>
      <c r="B55" s="29"/>
      <c r="C55" s="29"/>
      <c r="D55" s="29"/>
      <c r="E55" s="29"/>
      <c r="G55" s="31"/>
      <c r="H55" s="31"/>
      <c r="I55" s="31"/>
      <c r="J55" s="31"/>
      <c r="K55" s="31"/>
    </row>
    <row r="56" customHeight="1" spans="1:11">
      <c r="A56" s="29"/>
      <c r="B56" s="29"/>
      <c r="C56" s="29"/>
      <c r="D56" s="29"/>
      <c r="E56" s="29"/>
      <c r="G56" s="31"/>
      <c r="H56" s="31"/>
      <c r="I56" s="31"/>
      <c r="J56" s="31"/>
      <c r="K56" s="31"/>
    </row>
    <row r="57" customHeight="1" spans="1:11">
      <c r="A57" s="29"/>
      <c r="B57" s="29"/>
      <c r="C57" s="29"/>
      <c r="D57" s="29"/>
      <c r="E57" s="29"/>
      <c r="G57" s="31"/>
      <c r="H57" s="31"/>
      <c r="I57" s="31"/>
      <c r="J57" s="31"/>
      <c r="K57" s="31"/>
    </row>
    <row r="58" customHeight="1" spans="1:11">
      <c r="A58" s="29"/>
      <c r="B58" s="29"/>
      <c r="C58" s="29"/>
      <c r="D58" s="29"/>
      <c r="E58" s="29"/>
      <c r="G58" s="31"/>
      <c r="H58" s="31"/>
      <c r="I58" s="31"/>
      <c r="J58" s="31"/>
      <c r="K58" s="31"/>
    </row>
    <row r="59" customHeight="1" spans="1:11">
      <c r="A59" s="29"/>
      <c r="B59" s="29"/>
      <c r="C59" s="29"/>
      <c r="D59" s="29"/>
      <c r="E59" s="29"/>
      <c r="G59" s="31"/>
      <c r="H59" s="31"/>
      <c r="I59" s="31"/>
      <c r="J59" s="31"/>
      <c r="K59" s="31"/>
    </row>
    <row r="60" customHeight="1" spans="1:11">
      <c r="A60" s="29"/>
      <c r="B60" s="29"/>
      <c r="C60" s="29"/>
      <c r="D60" s="29"/>
      <c r="E60" s="29"/>
      <c r="G60" s="31"/>
      <c r="H60" s="31"/>
      <c r="I60" s="31"/>
      <c r="J60" s="31"/>
      <c r="K60" s="31"/>
    </row>
    <row r="61" customHeight="1" spans="1:11">
      <c r="A61" s="29"/>
      <c r="B61" s="29"/>
      <c r="C61" s="29"/>
      <c r="D61" s="29"/>
      <c r="E61" s="29"/>
      <c r="G61" s="31"/>
      <c r="H61" s="31"/>
      <c r="I61" s="31"/>
      <c r="J61" s="31"/>
      <c r="K61" s="31"/>
    </row>
    <row r="62" customHeight="1" spans="1:11">
      <c r="A62" s="29"/>
      <c r="B62" s="29"/>
      <c r="C62" s="29"/>
      <c r="D62" s="29"/>
      <c r="E62" s="29"/>
      <c r="G62" s="31"/>
      <c r="H62" s="31"/>
      <c r="I62" s="31"/>
      <c r="J62" s="31"/>
      <c r="K62" s="31"/>
    </row>
    <row r="63" customHeight="1" spans="1:11">
      <c r="A63" s="29"/>
      <c r="B63" s="29"/>
      <c r="C63" s="29"/>
      <c r="D63" s="29"/>
      <c r="E63" s="29"/>
      <c r="G63" s="31"/>
      <c r="H63" s="31"/>
      <c r="I63" s="31"/>
      <c r="J63" s="31"/>
      <c r="K63" s="31"/>
    </row>
    <row r="64" customHeight="1" spans="1:11">
      <c r="A64" s="29"/>
      <c r="B64" s="29"/>
      <c r="C64" s="29"/>
      <c r="D64" s="29"/>
      <c r="E64" s="29"/>
      <c r="G64" s="31"/>
      <c r="H64" s="31"/>
      <c r="I64" s="31"/>
      <c r="J64" s="31"/>
      <c r="K64" s="31"/>
    </row>
    <row r="65" customHeight="1" spans="1:11">
      <c r="A65" s="29"/>
      <c r="B65" s="29"/>
      <c r="C65" s="29"/>
      <c r="D65" s="29"/>
      <c r="E65" s="29"/>
      <c r="G65" s="31"/>
      <c r="H65" s="31"/>
      <c r="I65" s="31"/>
      <c r="J65" s="31"/>
      <c r="K65" s="31"/>
    </row>
    <row r="66" customHeight="1" spans="1:11">
      <c r="A66" s="29"/>
      <c r="B66" s="29"/>
      <c r="C66" s="29"/>
      <c r="D66" s="29"/>
      <c r="E66" s="29"/>
      <c r="G66" s="31"/>
      <c r="H66" s="31"/>
      <c r="I66" s="31"/>
      <c r="J66" s="31"/>
      <c r="K66" s="31"/>
    </row>
    <row r="67" customHeight="1" spans="1:11">
      <c r="A67" s="29"/>
      <c r="B67" s="29"/>
      <c r="C67" s="29"/>
      <c r="D67" s="29"/>
      <c r="E67" s="29"/>
      <c r="G67" s="31"/>
      <c r="H67" s="31"/>
      <c r="I67" s="31"/>
      <c r="J67" s="31"/>
      <c r="K67" s="31"/>
    </row>
    <row r="68" customHeight="1" spans="1:11">
      <c r="A68" s="29"/>
      <c r="B68" s="29"/>
      <c r="C68" s="29"/>
      <c r="D68" s="29"/>
      <c r="E68" s="29"/>
      <c r="G68" s="31"/>
      <c r="H68" s="31"/>
      <c r="I68" s="31"/>
      <c r="J68" s="31"/>
      <c r="K68" s="31"/>
    </row>
    <row r="69" customHeight="1" spans="1:11">
      <c r="A69" s="29"/>
      <c r="B69" s="29"/>
      <c r="C69" s="29"/>
      <c r="D69" s="29"/>
      <c r="E69" s="29"/>
      <c r="G69" s="31"/>
      <c r="H69" s="31"/>
      <c r="I69" s="31"/>
      <c r="J69" s="31"/>
      <c r="K69" s="31"/>
    </row>
    <row r="70" customHeight="1" spans="1:11">
      <c r="A70" s="29"/>
      <c r="B70" s="29"/>
      <c r="C70" s="29"/>
      <c r="D70" s="29"/>
      <c r="E70" s="29"/>
      <c r="G70" s="31"/>
      <c r="H70" s="31"/>
      <c r="I70" s="31"/>
      <c r="J70" s="31"/>
      <c r="K70" s="31"/>
    </row>
    <row r="71" customHeight="1" spans="1:11">
      <c r="A71" s="29"/>
      <c r="B71" s="29"/>
      <c r="C71" s="29"/>
      <c r="D71" s="29"/>
      <c r="E71" s="29"/>
      <c r="G71" s="31"/>
      <c r="H71" s="31"/>
      <c r="I71" s="31"/>
      <c r="J71" s="31"/>
      <c r="K71" s="31"/>
    </row>
    <row r="72" customHeight="1" spans="1:11">
      <c r="A72" s="29"/>
      <c r="B72" s="29"/>
      <c r="C72" s="29"/>
      <c r="D72" s="29"/>
      <c r="E72" s="29"/>
      <c r="G72" s="31"/>
      <c r="H72" s="31"/>
      <c r="I72" s="31"/>
      <c r="J72" s="31"/>
      <c r="K72" s="31"/>
    </row>
    <row r="73" customHeight="1" spans="1:11">
      <c r="A73" s="29"/>
      <c r="B73" s="29"/>
      <c r="C73" s="29"/>
      <c r="D73" s="29"/>
      <c r="E73" s="29"/>
      <c r="G73" s="31"/>
      <c r="H73" s="31"/>
      <c r="I73" s="31"/>
      <c r="J73" s="31"/>
      <c r="K73" s="31"/>
    </row>
    <row r="74" customHeight="1" spans="1:11">
      <c r="A74" s="29"/>
      <c r="B74" s="29"/>
      <c r="C74" s="29"/>
      <c r="D74" s="29"/>
      <c r="E74" s="29"/>
      <c r="G74" s="31"/>
      <c r="H74" s="31"/>
      <c r="I74" s="31"/>
      <c r="J74" s="31"/>
      <c r="K74" s="31"/>
    </row>
    <row r="75" customHeight="1" spans="1:11">
      <c r="A75" s="29"/>
      <c r="B75" s="29"/>
      <c r="C75" s="29"/>
      <c r="D75" s="29"/>
      <c r="E75" s="29"/>
      <c r="G75" s="31"/>
      <c r="H75" s="31"/>
      <c r="I75" s="31"/>
      <c r="J75" s="31"/>
      <c r="K75" s="31"/>
    </row>
    <row r="76" customHeight="1" spans="1:11">
      <c r="A76" s="29"/>
      <c r="B76" s="29"/>
      <c r="C76" s="29"/>
      <c r="D76" s="29"/>
      <c r="E76" s="29"/>
      <c r="G76" s="31"/>
      <c r="H76" s="31"/>
      <c r="I76" s="31"/>
      <c r="J76" s="31"/>
      <c r="K76" s="31"/>
    </row>
    <row r="77" customHeight="1" spans="1:11">
      <c r="A77" s="29"/>
      <c r="B77" s="29"/>
      <c r="C77" s="29"/>
      <c r="D77" s="29"/>
      <c r="E77" s="29"/>
      <c r="G77" s="31"/>
      <c r="H77" s="31"/>
      <c r="I77" s="31"/>
      <c r="J77" s="31"/>
      <c r="K77" s="31"/>
    </row>
    <row r="78" customHeight="1" spans="1:11">
      <c r="A78" s="29"/>
      <c r="B78" s="29"/>
      <c r="C78" s="29"/>
      <c r="D78" s="29"/>
      <c r="E78" s="29"/>
      <c r="G78" s="31"/>
      <c r="H78" s="31"/>
      <c r="I78" s="31"/>
      <c r="J78" s="31"/>
      <c r="K78" s="31"/>
    </row>
    <row r="79" customHeight="1" spans="1:11">
      <c r="A79" s="29"/>
      <c r="B79" s="29"/>
      <c r="C79" s="29"/>
      <c r="D79" s="29"/>
      <c r="E79" s="29"/>
      <c r="G79" s="31"/>
      <c r="H79" s="31"/>
      <c r="I79" s="31"/>
      <c r="J79" s="31"/>
      <c r="K79" s="31"/>
    </row>
    <row r="80" customHeight="1" spans="1:11">
      <c r="A80" s="29"/>
      <c r="B80" s="29"/>
      <c r="C80" s="29"/>
      <c r="D80" s="29"/>
      <c r="E80" s="29"/>
      <c r="G80" s="31"/>
      <c r="H80" s="31"/>
      <c r="I80" s="31"/>
      <c r="J80" s="31"/>
      <c r="K80" s="31"/>
    </row>
    <row r="81" customHeight="1" spans="1:11">
      <c r="A81" s="29"/>
      <c r="B81" s="29"/>
      <c r="C81" s="29"/>
      <c r="D81" s="29"/>
      <c r="E81" s="29"/>
      <c r="G81" s="31"/>
      <c r="H81" s="31"/>
      <c r="I81" s="31"/>
      <c r="J81" s="31"/>
      <c r="K81" s="31"/>
    </row>
    <row r="82" customHeight="1" spans="1:11">
      <c r="A82" s="29"/>
      <c r="B82" s="29"/>
      <c r="C82" s="29"/>
      <c r="D82" s="29"/>
      <c r="E82" s="29"/>
      <c r="G82" s="31"/>
      <c r="H82" s="31"/>
      <c r="I82" s="31"/>
      <c r="J82" s="31"/>
      <c r="K82" s="31"/>
    </row>
    <row r="83" customHeight="1" spans="1:11">
      <c r="A83" s="29"/>
      <c r="B83" s="29"/>
      <c r="C83" s="29"/>
      <c r="D83" s="29"/>
      <c r="E83" s="29"/>
      <c r="G83" s="31"/>
      <c r="H83" s="31"/>
      <c r="I83" s="31"/>
      <c r="J83" s="31"/>
      <c r="K83" s="31"/>
    </row>
    <row r="84" customHeight="1" spans="1:11">
      <c r="A84" s="29"/>
      <c r="B84" s="29"/>
      <c r="C84" s="29"/>
      <c r="D84" s="29"/>
      <c r="E84" s="29"/>
      <c r="G84" s="31"/>
      <c r="H84" s="31"/>
      <c r="I84" s="31"/>
      <c r="J84" s="31"/>
      <c r="K84" s="31"/>
    </row>
    <row r="85" customHeight="1" spans="1:11">
      <c r="A85" s="29"/>
      <c r="B85" s="29"/>
      <c r="C85" s="29"/>
      <c r="D85" s="29"/>
      <c r="E85" s="29"/>
      <c r="G85" s="31"/>
      <c r="H85" s="31"/>
      <c r="I85" s="31"/>
      <c r="J85" s="31"/>
      <c r="K85" s="31"/>
    </row>
    <row r="86" customHeight="1" spans="1:11">
      <c r="A86" s="29"/>
      <c r="B86" s="29"/>
      <c r="C86" s="29"/>
      <c r="D86" s="29"/>
      <c r="E86" s="29"/>
      <c r="G86" s="31"/>
      <c r="H86" s="31"/>
      <c r="I86" s="31"/>
      <c r="J86" s="31"/>
      <c r="K86" s="31"/>
    </row>
    <row r="87" customHeight="1" spans="1:11">
      <c r="A87" s="29"/>
      <c r="B87" s="29"/>
      <c r="C87" s="29"/>
      <c r="D87" s="29"/>
      <c r="E87" s="29"/>
      <c r="G87" s="31"/>
      <c r="H87" s="31"/>
      <c r="I87" s="31"/>
      <c r="J87" s="31"/>
      <c r="K87" s="31"/>
    </row>
    <row r="88" customHeight="1" spans="1:11">
      <c r="A88" s="29"/>
      <c r="B88" s="29"/>
      <c r="C88" s="29"/>
      <c r="D88" s="29"/>
      <c r="E88" s="29"/>
      <c r="G88" s="31"/>
      <c r="H88" s="31"/>
      <c r="I88" s="31"/>
      <c r="J88" s="31"/>
      <c r="K88" s="31"/>
    </row>
    <row r="89" customHeight="1" spans="1:11">
      <c r="A89" s="29"/>
      <c r="B89" s="29"/>
      <c r="C89" s="29"/>
      <c r="D89" s="29"/>
      <c r="E89" s="29"/>
      <c r="G89" s="31"/>
      <c r="H89" s="31"/>
      <c r="I89" s="31"/>
      <c r="J89" s="31"/>
      <c r="K89" s="31"/>
    </row>
    <row r="90" customHeight="1" spans="1:11">
      <c r="A90" s="29"/>
      <c r="B90" s="29"/>
      <c r="C90" s="29"/>
      <c r="D90" s="29"/>
      <c r="E90" s="29"/>
      <c r="G90" s="31"/>
      <c r="H90" s="31"/>
      <c r="I90" s="31"/>
      <c r="J90" s="31"/>
      <c r="K90" s="31"/>
    </row>
    <row r="91" customHeight="1" spans="1:11">
      <c r="A91" s="29"/>
      <c r="B91" s="29"/>
      <c r="C91" s="29"/>
      <c r="D91" s="29"/>
      <c r="E91" s="29"/>
      <c r="G91" s="31"/>
      <c r="H91" s="31"/>
      <c r="I91" s="31"/>
      <c r="J91" s="31"/>
      <c r="K91" s="31"/>
    </row>
    <row r="92" customHeight="1" spans="1:11">
      <c r="A92" s="29"/>
      <c r="B92" s="29"/>
      <c r="C92" s="29"/>
      <c r="D92" s="29"/>
      <c r="E92" s="29"/>
      <c r="G92" s="31"/>
      <c r="H92" s="31"/>
      <c r="I92" s="31"/>
      <c r="J92" s="31"/>
      <c r="K92" s="31"/>
    </row>
    <row r="93" customHeight="1" spans="1:11">
      <c r="A93" s="29"/>
      <c r="B93" s="29"/>
      <c r="C93" s="29"/>
      <c r="D93" s="29"/>
      <c r="E93" s="29"/>
      <c r="G93" s="31"/>
      <c r="H93" s="31"/>
      <c r="I93" s="31"/>
      <c r="J93" s="31"/>
      <c r="K93" s="31"/>
    </row>
    <row r="94" customHeight="1" spans="1:11">
      <c r="A94" s="29"/>
      <c r="B94" s="29"/>
      <c r="C94" s="29"/>
      <c r="D94" s="29"/>
      <c r="E94" s="29"/>
      <c r="G94" s="31"/>
      <c r="H94" s="31"/>
      <c r="I94" s="31"/>
      <c r="J94" s="31"/>
      <c r="K94" s="31"/>
    </row>
    <row r="95" customHeight="1" spans="1:11">
      <c r="A95" s="29"/>
      <c r="B95" s="29"/>
      <c r="C95" s="29"/>
      <c r="D95" s="29"/>
      <c r="E95" s="29"/>
      <c r="G95" s="31"/>
      <c r="H95" s="31"/>
      <c r="I95" s="31"/>
      <c r="J95" s="31"/>
      <c r="K95" s="31"/>
    </row>
    <row r="96" customHeight="1" spans="1:11">
      <c r="A96" s="29"/>
      <c r="B96" s="29"/>
      <c r="C96" s="29"/>
      <c r="D96" s="29"/>
      <c r="E96" s="29"/>
      <c r="G96" s="31"/>
      <c r="H96" s="31"/>
      <c r="I96" s="31"/>
      <c r="J96" s="31"/>
      <c r="K96" s="31"/>
    </row>
    <row r="97" customHeight="1" spans="1:11">
      <c r="A97" s="29"/>
      <c r="B97" s="29"/>
      <c r="C97" s="29"/>
      <c r="D97" s="29"/>
      <c r="E97" s="29"/>
      <c r="G97" s="31"/>
      <c r="H97" s="31"/>
      <c r="I97" s="31"/>
      <c r="J97" s="31"/>
      <c r="K97" s="31"/>
    </row>
    <row r="98" customHeight="1" spans="1:11">
      <c r="A98" s="29"/>
      <c r="B98" s="29"/>
      <c r="C98" s="29"/>
      <c r="D98" s="29"/>
      <c r="E98" s="29"/>
      <c r="G98" s="31"/>
      <c r="H98" s="31"/>
      <c r="I98" s="31"/>
      <c r="J98" s="31"/>
      <c r="K98" s="31"/>
    </row>
    <row r="99" customHeight="1" spans="1:11">
      <c r="A99" s="29"/>
      <c r="B99" s="29"/>
      <c r="C99" s="29"/>
      <c r="D99" s="29"/>
      <c r="E99" s="29"/>
      <c r="G99" s="31"/>
      <c r="H99" s="31"/>
      <c r="I99" s="31"/>
      <c r="J99" s="31"/>
      <c r="K99" s="31"/>
    </row>
    <row r="100" customHeight="1" spans="1:11">
      <c r="A100" s="29"/>
      <c r="B100" s="29"/>
      <c r="C100" s="29"/>
      <c r="D100" s="29"/>
      <c r="E100" s="29"/>
      <c r="G100" s="31"/>
      <c r="H100" s="31"/>
      <c r="I100" s="31"/>
      <c r="J100" s="31"/>
      <c r="K100" s="31"/>
    </row>
    <row r="101" customHeight="1" spans="1:11">
      <c r="A101" s="29"/>
      <c r="B101" s="29"/>
      <c r="C101" s="29"/>
      <c r="D101" s="29"/>
      <c r="E101" s="29"/>
      <c r="G101" s="31"/>
      <c r="H101" s="31"/>
      <c r="I101" s="31"/>
      <c r="J101" s="31"/>
      <c r="K101" s="31"/>
    </row>
    <row r="102" customHeight="1" spans="1:11">
      <c r="A102" s="29"/>
      <c r="B102" s="29"/>
      <c r="C102" s="29"/>
      <c r="D102" s="29"/>
      <c r="E102" s="29"/>
      <c r="G102" s="31"/>
      <c r="H102" s="31"/>
      <c r="I102" s="31"/>
      <c r="J102" s="31"/>
      <c r="K102" s="31"/>
    </row>
    <row r="103" customHeight="1" spans="1:11">
      <c r="A103" s="29"/>
      <c r="B103" s="29"/>
      <c r="C103" s="29"/>
      <c r="D103" s="29"/>
      <c r="E103" s="29"/>
      <c r="G103" s="31"/>
      <c r="H103" s="31"/>
      <c r="I103" s="31"/>
      <c r="J103" s="31"/>
      <c r="K103" s="31"/>
    </row>
    <row r="104" customHeight="1" spans="1:11">
      <c r="A104" s="29"/>
      <c r="B104" s="29"/>
      <c r="C104" s="29"/>
      <c r="D104" s="29"/>
      <c r="E104" s="29"/>
      <c r="G104" s="31"/>
      <c r="H104" s="31"/>
      <c r="I104" s="31"/>
      <c r="J104" s="31"/>
      <c r="K104" s="31"/>
    </row>
    <row r="105" customHeight="1" spans="1:11">
      <c r="A105" s="29"/>
      <c r="B105" s="29"/>
      <c r="C105" s="29"/>
      <c r="D105" s="29"/>
      <c r="E105" s="29"/>
      <c r="G105" s="31"/>
      <c r="H105" s="31"/>
      <c r="I105" s="31"/>
      <c r="J105" s="31"/>
      <c r="K105" s="31"/>
    </row>
    <row r="106" customHeight="1" spans="1:11">
      <c r="A106" s="29"/>
      <c r="B106" s="29"/>
      <c r="C106" s="29"/>
      <c r="D106" s="29"/>
      <c r="E106" s="29"/>
      <c r="G106" s="31"/>
      <c r="H106" s="31"/>
      <c r="I106" s="31"/>
      <c r="J106" s="31"/>
      <c r="K106" s="31"/>
    </row>
    <row r="107" customHeight="1" spans="1:11">
      <c r="A107" s="29"/>
      <c r="B107" s="29"/>
      <c r="C107" s="29"/>
      <c r="D107" s="29"/>
      <c r="E107" s="29"/>
      <c r="G107" s="31"/>
      <c r="H107" s="31"/>
      <c r="I107" s="31"/>
      <c r="J107" s="31"/>
      <c r="K107" s="31"/>
    </row>
    <row r="108" customHeight="1" spans="1:11">
      <c r="A108" s="29"/>
      <c r="B108" s="29"/>
      <c r="C108" s="29"/>
      <c r="D108" s="29"/>
      <c r="E108" s="29"/>
      <c r="G108" s="31"/>
      <c r="H108" s="31"/>
      <c r="I108" s="31"/>
      <c r="J108" s="31"/>
      <c r="K108" s="31"/>
    </row>
    <row r="109" customHeight="1" spans="1:11">
      <c r="A109" s="29"/>
      <c r="B109" s="29"/>
      <c r="C109" s="29"/>
      <c r="D109" s="29"/>
      <c r="E109" s="29"/>
      <c r="G109" s="31"/>
      <c r="H109" s="31"/>
      <c r="I109" s="31"/>
      <c r="J109" s="31"/>
      <c r="K109" s="31"/>
    </row>
    <row r="110" customHeight="1" spans="1:11">
      <c r="A110" s="29"/>
      <c r="B110" s="29"/>
      <c r="C110" s="29"/>
      <c r="D110" s="29"/>
      <c r="E110" s="29"/>
      <c r="G110" s="31"/>
      <c r="H110" s="31"/>
      <c r="I110" s="31"/>
      <c r="J110" s="31"/>
      <c r="K110" s="31"/>
    </row>
    <row r="111" customHeight="1" spans="1:11">
      <c r="A111" s="29"/>
      <c r="B111" s="29"/>
      <c r="C111" s="29"/>
      <c r="D111" s="29"/>
      <c r="E111" s="29"/>
      <c r="G111" s="31"/>
      <c r="H111" s="31"/>
      <c r="I111" s="31"/>
      <c r="J111" s="31"/>
      <c r="K111" s="31"/>
    </row>
    <row r="112" customHeight="1" spans="1:11">
      <c r="A112" s="29"/>
      <c r="B112" s="29"/>
      <c r="C112" s="29"/>
      <c r="D112" s="29"/>
      <c r="E112" s="29"/>
      <c r="G112" s="31"/>
      <c r="H112" s="31"/>
      <c r="I112" s="31"/>
      <c r="J112" s="31"/>
      <c r="K112" s="31"/>
    </row>
    <row r="113" customHeight="1" spans="1:11">
      <c r="A113" s="29"/>
      <c r="B113" s="29"/>
      <c r="C113" s="29"/>
      <c r="D113" s="29"/>
      <c r="E113" s="29"/>
      <c r="G113" s="31"/>
      <c r="H113" s="31"/>
      <c r="I113" s="31"/>
      <c r="J113" s="31"/>
      <c r="K113" s="31"/>
    </row>
    <row r="114" customHeight="1" spans="1:11">
      <c r="A114" s="29"/>
      <c r="B114" s="29"/>
      <c r="C114" s="29"/>
      <c r="D114" s="29"/>
      <c r="E114" s="29"/>
      <c r="G114" s="31"/>
      <c r="H114" s="31"/>
      <c r="I114" s="31"/>
      <c r="J114" s="31"/>
      <c r="K114" s="31"/>
    </row>
    <row r="115" customHeight="1" spans="1:11">
      <c r="A115" s="29"/>
      <c r="B115" s="29"/>
      <c r="C115" s="29"/>
      <c r="D115" s="29"/>
      <c r="E115" s="29"/>
      <c r="G115" s="31"/>
      <c r="H115" s="31"/>
      <c r="I115" s="31"/>
      <c r="J115" s="31"/>
      <c r="K115" s="31"/>
    </row>
    <row r="116" customHeight="1" spans="1:11">
      <c r="A116" s="29"/>
      <c r="B116" s="29"/>
      <c r="C116" s="29"/>
      <c r="D116" s="29"/>
      <c r="E116" s="29"/>
      <c r="G116" s="31"/>
      <c r="H116" s="31"/>
      <c r="I116" s="31"/>
      <c r="J116" s="31"/>
      <c r="K116" s="31"/>
    </row>
    <row r="117" customHeight="1" spans="1:11">
      <c r="A117" s="29"/>
      <c r="B117" s="29"/>
      <c r="C117" s="29"/>
      <c r="D117" s="29"/>
      <c r="E117" s="29"/>
      <c r="G117" s="31"/>
      <c r="H117" s="31"/>
      <c r="I117" s="31"/>
      <c r="J117" s="31"/>
      <c r="K117" s="31"/>
    </row>
    <row r="118" customHeight="1" spans="1:11">
      <c r="A118" s="29"/>
      <c r="B118" s="29"/>
      <c r="C118" s="29"/>
      <c r="D118" s="29"/>
      <c r="E118" s="29"/>
      <c r="G118" s="31"/>
      <c r="H118" s="31"/>
      <c r="I118" s="31"/>
      <c r="J118" s="31"/>
      <c r="K118" s="31"/>
    </row>
    <row r="119" customHeight="1" spans="1:11">
      <c r="A119" s="29"/>
      <c r="B119" s="29"/>
      <c r="C119" s="29"/>
      <c r="D119" s="29"/>
      <c r="E119" s="29"/>
      <c r="G119" s="31"/>
      <c r="H119" s="31"/>
      <c r="I119" s="31"/>
      <c r="J119" s="31"/>
      <c r="K119" s="31"/>
    </row>
    <row r="120" customHeight="1" spans="1:11">
      <c r="A120" s="29"/>
      <c r="B120" s="29"/>
      <c r="C120" s="29"/>
      <c r="D120" s="29"/>
      <c r="E120" s="29"/>
      <c r="G120" s="31"/>
      <c r="H120" s="31"/>
      <c r="I120" s="31"/>
      <c r="J120" s="31"/>
      <c r="K120" s="31"/>
    </row>
    <row r="121" customHeight="1" spans="1:11">
      <c r="A121" s="29"/>
      <c r="B121" s="29"/>
      <c r="C121" s="29"/>
      <c r="D121" s="29"/>
      <c r="E121" s="29"/>
      <c r="G121" s="31"/>
      <c r="H121" s="31"/>
      <c r="I121" s="31"/>
      <c r="J121" s="31"/>
      <c r="K121" s="31"/>
    </row>
    <row r="122" customHeight="1" spans="1:11">
      <c r="A122" s="29"/>
      <c r="B122" s="29"/>
      <c r="C122" s="29"/>
      <c r="D122" s="29"/>
      <c r="E122" s="29"/>
      <c r="G122" s="31"/>
      <c r="H122" s="31"/>
      <c r="I122" s="31"/>
      <c r="J122" s="31"/>
      <c r="K122" s="31"/>
    </row>
    <row r="123" customHeight="1" spans="1:11">
      <c r="A123" s="29"/>
      <c r="B123" s="29"/>
      <c r="C123" s="29"/>
      <c r="D123" s="29"/>
      <c r="E123" s="29"/>
      <c r="G123" s="31"/>
      <c r="H123" s="31"/>
      <c r="I123" s="31"/>
      <c r="J123" s="31"/>
      <c r="K123" s="31"/>
    </row>
    <row r="124" customHeight="1" spans="1:11">
      <c r="A124" s="29"/>
      <c r="B124" s="29"/>
      <c r="C124" s="29"/>
      <c r="D124" s="29"/>
      <c r="E124" s="29"/>
      <c r="G124" s="31"/>
      <c r="H124" s="31"/>
      <c r="I124" s="31"/>
      <c r="J124" s="31"/>
      <c r="K124" s="31"/>
    </row>
    <row r="125" customHeight="1" spans="1:11">
      <c r="A125" s="29"/>
      <c r="B125" s="29"/>
      <c r="C125" s="29"/>
      <c r="D125" s="29"/>
      <c r="E125" s="29"/>
      <c r="G125" s="31"/>
      <c r="H125" s="31"/>
      <c r="I125" s="31"/>
      <c r="J125" s="31"/>
      <c r="K125" s="31"/>
    </row>
    <row r="126" customHeight="1" spans="1:11">
      <c r="A126" s="29"/>
      <c r="B126" s="29"/>
      <c r="C126" s="29"/>
      <c r="D126" s="29"/>
      <c r="E126" s="29"/>
      <c r="G126" s="31"/>
      <c r="H126" s="31"/>
      <c r="I126" s="31"/>
      <c r="J126" s="31"/>
      <c r="K126" s="31"/>
    </row>
    <row r="127" customHeight="1" spans="1:11">
      <c r="A127" s="29"/>
      <c r="B127" s="29"/>
      <c r="C127" s="29"/>
      <c r="D127" s="29"/>
      <c r="E127" s="29"/>
      <c r="G127" s="31"/>
      <c r="H127" s="31"/>
      <c r="I127" s="31"/>
      <c r="J127" s="31"/>
      <c r="K127" s="31"/>
    </row>
    <row r="128" customHeight="1" spans="1:11">
      <c r="A128" s="29"/>
      <c r="B128" s="29"/>
      <c r="C128" s="29"/>
      <c r="D128" s="29"/>
      <c r="E128" s="29"/>
      <c r="G128" s="31"/>
      <c r="H128" s="31"/>
      <c r="I128" s="31"/>
      <c r="J128" s="31"/>
      <c r="K128" s="31"/>
    </row>
    <row r="129" customHeight="1" spans="1:11">
      <c r="A129" s="29"/>
      <c r="B129" s="29"/>
      <c r="C129" s="29"/>
      <c r="D129" s="29"/>
      <c r="E129" s="29"/>
      <c r="G129" s="31"/>
      <c r="H129" s="31"/>
      <c r="I129" s="31"/>
      <c r="J129" s="31"/>
      <c r="K129" s="31"/>
    </row>
    <row r="130" customHeight="1" spans="1:11">
      <c r="A130" s="29"/>
      <c r="B130" s="29"/>
      <c r="C130" s="29"/>
      <c r="D130" s="29"/>
      <c r="E130" s="29"/>
      <c r="G130" s="31"/>
      <c r="H130" s="31"/>
      <c r="I130" s="31"/>
      <c r="J130" s="31"/>
      <c r="K130" s="31"/>
    </row>
    <row r="131" customHeight="1" spans="1:11">
      <c r="A131" s="29"/>
      <c r="B131" s="29"/>
      <c r="C131" s="29"/>
      <c r="D131" s="29"/>
      <c r="E131" s="29"/>
      <c r="G131" s="31"/>
      <c r="H131" s="31"/>
      <c r="I131" s="31"/>
      <c r="J131" s="31"/>
      <c r="K131" s="31"/>
    </row>
    <row r="132" customHeight="1" spans="1:11">
      <c r="A132" s="29"/>
      <c r="B132" s="29"/>
      <c r="C132" s="29"/>
      <c r="D132" s="29"/>
      <c r="E132" s="29"/>
      <c r="G132" s="31"/>
      <c r="H132" s="31"/>
      <c r="I132" s="31"/>
      <c r="J132" s="31"/>
      <c r="K132" s="31"/>
    </row>
    <row r="133" customHeight="1" spans="7:11">
      <c r="G133" s="31"/>
      <c r="H133" s="31"/>
      <c r="I133" s="31"/>
      <c r="J133" s="31"/>
      <c r="K133" s="31"/>
    </row>
    <row r="134" customHeight="1" spans="7:11">
      <c r="G134" s="31"/>
      <c r="H134" s="31"/>
      <c r="I134" s="31"/>
      <c r="J134" s="31"/>
      <c r="K134" s="31"/>
    </row>
    <row r="135" customHeight="1" spans="7:11">
      <c r="G135" s="31"/>
      <c r="H135" s="31"/>
      <c r="I135" s="31"/>
      <c r="J135" s="31"/>
      <c r="K135" s="31"/>
    </row>
    <row r="136" customHeight="1" spans="7:11">
      <c r="G136" s="31"/>
      <c r="H136" s="31"/>
      <c r="I136" s="31"/>
      <c r="J136" s="31"/>
      <c r="K136" s="31"/>
    </row>
    <row r="137" customHeight="1" spans="7:11">
      <c r="G137" s="31"/>
      <c r="H137" s="31"/>
      <c r="I137" s="31"/>
      <c r="J137" s="31"/>
      <c r="K137" s="31"/>
    </row>
    <row r="138" customHeight="1" spans="7:11">
      <c r="G138" s="31"/>
      <c r="H138" s="31"/>
      <c r="I138" s="31"/>
      <c r="J138" s="31"/>
      <c r="K138" s="31"/>
    </row>
  </sheetData>
  <sheetProtection formatCells="0" insertHyperlinks="0" autoFilter="0"/>
  <mergeCells count="1">
    <mergeCell ref="A1:E1"/>
  </mergeCells>
  <pageMargins left="1.34" right="0.75" top="0.98" bottom="0.98" header="0.51" footer="0.51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tabColor rgb="FFFFC000"/>
  </sheetPr>
  <dimension ref="A1:J280"/>
  <sheetViews>
    <sheetView topLeftCell="A253" workbookViewId="0">
      <selection activeCell="L197" sqref="L197"/>
    </sheetView>
  </sheetViews>
  <sheetFormatPr defaultColWidth="9" defaultRowHeight="15.95" customHeight="1"/>
  <cols>
    <col min="1" max="1" width="3.125" customWidth="1"/>
    <col min="3" max="3" width="30.625" customWidth="1"/>
    <col min="4" max="4" width="12.125" style="653" customWidth="1"/>
    <col min="5" max="5" width="15.875" style="653" customWidth="1"/>
    <col min="8" max="8" width="11.5"/>
    <col min="10" max="10" width="12.625"/>
  </cols>
  <sheetData>
    <row r="1" ht="30" customHeight="1" spans="1:5">
      <c r="A1" s="654"/>
      <c r="B1" s="655" t="s">
        <v>33</v>
      </c>
      <c r="C1" s="655"/>
      <c r="D1" s="655"/>
      <c r="E1" s="655"/>
    </row>
    <row r="2" customHeight="1" spans="1:5">
      <c r="A2" s="47"/>
      <c r="B2" s="656"/>
      <c r="C2" s="656"/>
      <c r="D2" s="657"/>
      <c r="E2" s="657"/>
    </row>
    <row r="3" customHeight="1" spans="1:5">
      <c r="A3" s="67"/>
      <c r="B3" s="658" t="s">
        <v>1</v>
      </c>
      <c r="C3" s="658" t="s">
        <v>16</v>
      </c>
      <c r="D3" s="659" t="s">
        <v>17</v>
      </c>
      <c r="E3" s="660"/>
    </row>
    <row r="4" customHeight="1" spans="1:9">
      <c r="A4" s="74"/>
      <c r="B4" s="658" t="s">
        <v>34</v>
      </c>
      <c r="C4" s="658" t="s">
        <v>35</v>
      </c>
      <c r="D4" s="661">
        <f>E15+E16+E17+E18</f>
        <v>62.2690767484623</v>
      </c>
      <c r="E4" s="662"/>
      <c r="G4" s="663">
        <f>G7+(G5-G6)/(H6-G6)*(H7-G7)</f>
        <v>12.2990799481125</v>
      </c>
      <c r="H4" s="663"/>
      <c r="I4" s="694">
        <f>G4*1.2*0.8</f>
        <v>11.807116750188</v>
      </c>
    </row>
    <row r="5" customHeight="1" spans="1:9">
      <c r="A5" s="74"/>
      <c r="B5" s="658">
        <v>1</v>
      </c>
      <c r="C5" s="664" t="s">
        <v>36</v>
      </c>
      <c r="D5" s="665">
        <f>D6*D10*D11*D12*(1+D13)</f>
        <v>62.2690767484623</v>
      </c>
      <c r="E5" s="666"/>
      <c r="G5" s="667">
        <f>总概算核!J16</f>
        <v>3130.84747729921</v>
      </c>
      <c r="H5" s="667"/>
      <c r="I5" s="695"/>
    </row>
    <row r="6" customHeight="1" spans="1:9">
      <c r="A6" s="74"/>
      <c r="B6" s="658">
        <v>1.1</v>
      </c>
      <c r="C6" s="664" t="s">
        <v>37</v>
      </c>
      <c r="D6" s="665">
        <f>D9+(D7-D8)/(E8-D8)*(E9-D9)</f>
        <v>107.731966692841</v>
      </c>
      <c r="E6" s="666"/>
      <c r="G6" s="668">
        <v>3000</v>
      </c>
      <c r="H6" s="668">
        <v>10000</v>
      </c>
      <c r="I6" s="696"/>
    </row>
    <row r="7" customHeight="1" spans="1:9">
      <c r="A7" s="34"/>
      <c r="B7" s="664"/>
      <c r="C7" s="669" t="s">
        <v>21</v>
      </c>
      <c r="D7" s="670">
        <f>总概算核!J16</f>
        <v>3130.84747729921</v>
      </c>
      <c r="E7" s="671">
        <v>14592.221176207</v>
      </c>
      <c r="G7" s="658">
        <v>12</v>
      </c>
      <c r="H7" s="658">
        <v>28</v>
      </c>
      <c r="I7" s="696"/>
    </row>
    <row r="8" customHeight="1" spans="1:5">
      <c r="A8" s="123"/>
      <c r="B8" s="658"/>
      <c r="C8" s="672" t="s">
        <v>22</v>
      </c>
      <c r="D8" s="673">
        <v>3000</v>
      </c>
      <c r="E8" s="673">
        <v>5000</v>
      </c>
    </row>
    <row r="9" customHeight="1" spans="1:5">
      <c r="A9" s="7"/>
      <c r="B9" s="658"/>
      <c r="C9" s="672" t="s">
        <v>23</v>
      </c>
      <c r="D9" s="674">
        <v>103.8</v>
      </c>
      <c r="E9" s="674">
        <v>163.9</v>
      </c>
    </row>
    <row r="10" customHeight="1" spans="1:5">
      <c r="A10" s="38"/>
      <c r="B10" s="658">
        <v>1.2</v>
      </c>
      <c r="C10" s="664" t="s">
        <v>24</v>
      </c>
      <c r="D10" s="675">
        <v>0.8</v>
      </c>
      <c r="E10" s="676"/>
    </row>
    <row r="11" customHeight="1" spans="1:5">
      <c r="A11" s="38"/>
      <c r="B11" s="658">
        <v>1.3</v>
      </c>
      <c r="C11" s="664" t="s">
        <v>25</v>
      </c>
      <c r="D11" s="675">
        <v>0.85</v>
      </c>
      <c r="E11" s="676"/>
    </row>
    <row r="12" customHeight="1" spans="1:5">
      <c r="A12" s="38"/>
      <c r="B12" s="658">
        <v>1.4</v>
      </c>
      <c r="C12" s="664" t="s">
        <v>38</v>
      </c>
      <c r="D12" s="675">
        <v>1</v>
      </c>
      <c r="E12" s="676"/>
    </row>
    <row r="13" customHeight="1" spans="1:5">
      <c r="A13" s="51"/>
      <c r="B13" s="658">
        <v>2</v>
      </c>
      <c r="C13" s="664" t="s">
        <v>27</v>
      </c>
      <c r="D13" s="677">
        <v>-0.15</v>
      </c>
      <c r="E13" s="678"/>
    </row>
    <row r="14" customHeight="1" spans="1:5">
      <c r="A14" s="7"/>
      <c r="B14" s="658">
        <v>3</v>
      </c>
      <c r="C14" s="664" t="s">
        <v>39</v>
      </c>
      <c r="D14" s="679" t="s">
        <v>40</v>
      </c>
      <c r="E14" s="679" t="s">
        <v>41</v>
      </c>
    </row>
    <row r="15" customHeight="1" spans="1:5">
      <c r="A15" s="38"/>
      <c r="B15" s="658">
        <v>3.1</v>
      </c>
      <c r="C15" s="664" t="s">
        <v>42</v>
      </c>
      <c r="D15" s="679">
        <v>0.25</v>
      </c>
      <c r="E15" s="680">
        <f>D5*D15</f>
        <v>15.5672691871156</v>
      </c>
    </row>
    <row r="16" customHeight="1" spans="1:5">
      <c r="A16" s="38"/>
      <c r="B16" s="658">
        <v>3.2</v>
      </c>
      <c r="C16" s="664" t="s">
        <v>43</v>
      </c>
      <c r="D16" s="679">
        <v>0.2</v>
      </c>
      <c r="E16" s="680">
        <f>D5*D16</f>
        <v>12.4538153496925</v>
      </c>
    </row>
    <row r="17" customHeight="1" spans="1:5">
      <c r="A17" s="38"/>
      <c r="B17" s="658">
        <v>3.3</v>
      </c>
      <c r="C17" s="664" t="s">
        <v>44</v>
      </c>
      <c r="D17" s="679">
        <v>0.55</v>
      </c>
      <c r="E17" s="680">
        <f>D5*D17</f>
        <v>34.2479922116542</v>
      </c>
    </row>
    <row r="18" customHeight="1" spans="1:5">
      <c r="A18" s="34"/>
      <c r="B18" s="658">
        <v>4</v>
      </c>
      <c r="C18" s="664" t="s">
        <v>45</v>
      </c>
      <c r="D18" s="679"/>
      <c r="E18" s="680">
        <f>D5*D18</f>
        <v>0</v>
      </c>
    </row>
    <row r="19" customHeight="1" spans="1:8">
      <c r="A19" s="123"/>
      <c r="B19" s="658"/>
      <c r="C19" s="664"/>
      <c r="D19" s="679"/>
      <c r="E19" s="679"/>
      <c r="H19">
        <f>D28+I4</f>
        <v>74.0761934986503</v>
      </c>
    </row>
    <row r="20" customHeight="1" spans="1:10">
      <c r="A20" s="7"/>
      <c r="B20" s="681" t="s">
        <v>46</v>
      </c>
      <c r="C20" s="681" t="s">
        <v>47</v>
      </c>
      <c r="D20" s="661"/>
      <c r="E20" s="662"/>
      <c r="J20">
        <f>24.8+11.8</f>
        <v>36.6</v>
      </c>
    </row>
    <row r="21" customHeight="1" spans="1:5">
      <c r="A21" s="38"/>
      <c r="B21" s="658">
        <v>3</v>
      </c>
      <c r="C21" s="664" t="s">
        <v>39</v>
      </c>
      <c r="D21" s="679" t="s">
        <v>40</v>
      </c>
      <c r="E21" s="679" t="s">
        <v>41</v>
      </c>
    </row>
    <row r="22" customHeight="1" spans="1:5">
      <c r="A22" s="38"/>
      <c r="B22" s="658">
        <v>3.1</v>
      </c>
      <c r="C22" s="664" t="s">
        <v>48</v>
      </c>
      <c r="D22" s="679"/>
      <c r="E22" s="680">
        <f>D22*E62</f>
        <v>0</v>
      </c>
    </row>
    <row r="23" customHeight="1" spans="1:5">
      <c r="A23" s="38"/>
      <c r="B23" s="658">
        <v>3.2</v>
      </c>
      <c r="C23" s="664" t="s">
        <v>49</v>
      </c>
      <c r="D23" s="679">
        <v>0.4</v>
      </c>
      <c r="E23" s="680">
        <f>D23*E63</f>
        <v>24.7230241463724</v>
      </c>
    </row>
    <row r="24" customHeight="1" spans="1:5">
      <c r="A24" s="51"/>
      <c r="B24" s="658">
        <v>4</v>
      </c>
      <c r="C24" s="664" t="s">
        <v>45</v>
      </c>
      <c r="D24" s="679">
        <v>0.1</v>
      </c>
      <c r="E24" s="680">
        <f>D24*E64</f>
        <v>1.08434316431458</v>
      </c>
    </row>
    <row r="25" customHeight="1" spans="1:5">
      <c r="A25" s="7"/>
      <c r="B25" s="658">
        <v>2</v>
      </c>
      <c r="C25" s="664" t="s">
        <v>40</v>
      </c>
      <c r="D25" s="682">
        <v>0.4</v>
      </c>
      <c r="E25" s="683"/>
    </row>
    <row r="26" customHeight="1" spans="1:5">
      <c r="A26" s="684"/>
      <c r="B26" s="658"/>
      <c r="C26" s="664"/>
      <c r="D26" s="685"/>
      <c r="E26" s="686"/>
    </row>
    <row r="27" customHeight="1" spans="1:5">
      <c r="A27" s="38"/>
      <c r="B27" s="664"/>
      <c r="C27" s="664"/>
      <c r="D27" s="659"/>
      <c r="E27" s="660"/>
    </row>
    <row r="28" customHeight="1" spans="1:5">
      <c r="A28" s="73"/>
      <c r="B28" s="664"/>
      <c r="C28" s="681" t="s">
        <v>50</v>
      </c>
      <c r="D28" s="687">
        <f>D4+D20</f>
        <v>62.2690767484623</v>
      </c>
      <c r="E28" s="688"/>
    </row>
    <row r="29" customHeight="1" spans="1:5">
      <c r="A29" s="73"/>
      <c r="B29" s="664"/>
      <c r="C29" s="681" t="s">
        <v>51</v>
      </c>
      <c r="D29" s="689"/>
      <c r="E29" s="689"/>
    </row>
    <row r="30" ht="42" customHeight="1" spans="1:5">
      <c r="A30" s="73"/>
      <c r="B30" s="690" t="s">
        <v>52</v>
      </c>
      <c r="C30" s="691"/>
      <c r="D30" s="691"/>
      <c r="E30" s="691"/>
    </row>
    <row r="31" customHeight="1" spans="1:5">
      <c r="A31" s="654"/>
      <c r="B31" s="655" t="s">
        <v>53</v>
      </c>
      <c r="C31" s="655"/>
      <c r="D31" s="655"/>
      <c r="E31" s="655"/>
    </row>
    <row r="32" customHeight="1" spans="1:5">
      <c r="A32" s="47"/>
      <c r="B32" s="656"/>
      <c r="C32" s="656"/>
      <c r="D32" s="657"/>
      <c r="E32" s="657"/>
    </row>
    <row r="33" customHeight="1" spans="1:5">
      <c r="A33" s="67"/>
      <c r="B33" s="658" t="s">
        <v>1</v>
      </c>
      <c r="C33" s="658" t="s">
        <v>16</v>
      </c>
      <c r="D33" s="659" t="s">
        <v>17</v>
      </c>
      <c r="E33" s="660"/>
    </row>
    <row r="34" customHeight="1" spans="1:5">
      <c r="A34" s="74"/>
      <c r="B34" s="681" t="s">
        <v>34</v>
      </c>
      <c r="C34" s="681" t="s">
        <v>54</v>
      </c>
      <c r="D34" s="661">
        <f>E45+E46+E47+E48</f>
        <v>62.2690767484623</v>
      </c>
      <c r="E34" s="662"/>
    </row>
    <row r="35" customHeight="1" spans="1:5">
      <c r="A35" s="74"/>
      <c r="B35" s="658">
        <v>1</v>
      </c>
      <c r="C35" s="664" t="s">
        <v>55</v>
      </c>
      <c r="D35" s="665">
        <f>D36*D40*D41*D42*(1+D43)</f>
        <v>62.2690767484623</v>
      </c>
      <c r="E35" s="666"/>
    </row>
    <row r="36" customHeight="1" spans="1:5">
      <c r="A36" s="74"/>
      <c r="B36" s="658">
        <v>1.1</v>
      </c>
      <c r="C36" s="664" t="s">
        <v>56</v>
      </c>
      <c r="D36" s="665">
        <f>D39+(D37-D38)/(E38-D38)*(E39-D39)</f>
        <v>107.731966692841</v>
      </c>
      <c r="E36" s="666"/>
    </row>
    <row r="37" customHeight="1" spans="1:5">
      <c r="A37" s="34"/>
      <c r="B37" s="664"/>
      <c r="C37" s="669" t="s">
        <v>21</v>
      </c>
      <c r="D37" s="670">
        <f>D7</f>
        <v>3130.84747729921</v>
      </c>
      <c r="E37" s="671"/>
    </row>
    <row r="38" customHeight="1" spans="1:5">
      <c r="A38" s="123"/>
      <c r="B38" s="658"/>
      <c r="C38" s="672" t="s">
        <v>22</v>
      </c>
      <c r="D38" s="673">
        <f>D8</f>
        <v>3000</v>
      </c>
      <c r="E38" s="673">
        <f>E8</f>
        <v>5000</v>
      </c>
    </row>
    <row r="39" customHeight="1" spans="1:5">
      <c r="A39" s="7"/>
      <c r="B39" s="658"/>
      <c r="C39" s="672" t="s">
        <v>23</v>
      </c>
      <c r="D39" s="674">
        <f>D9</f>
        <v>103.8</v>
      </c>
      <c r="E39" s="674">
        <f>E9</f>
        <v>163.9</v>
      </c>
    </row>
    <row r="40" customHeight="1" spans="1:5">
      <c r="A40" s="38"/>
      <c r="B40" s="658">
        <v>1.2</v>
      </c>
      <c r="C40" s="664" t="s">
        <v>24</v>
      </c>
      <c r="D40" s="675">
        <v>0.8</v>
      </c>
      <c r="E40" s="676"/>
    </row>
    <row r="41" customHeight="1" spans="1:5">
      <c r="A41" s="38"/>
      <c r="B41" s="658">
        <v>1.3</v>
      </c>
      <c r="C41" s="664" t="s">
        <v>25</v>
      </c>
      <c r="D41" s="675">
        <v>0.85</v>
      </c>
      <c r="E41" s="676"/>
    </row>
    <row r="42" customHeight="1" spans="1:5">
      <c r="A42" s="38"/>
      <c r="B42" s="658">
        <v>1.4</v>
      </c>
      <c r="C42" s="664" t="s">
        <v>38</v>
      </c>
      <c r="D42" s="675">
        <v>1</v>
      </c>
      <c r="E42" s="676"/>
    </row>
    <row r="43" customHeight="1" spans="1:5">
      <c r="A43" s="51"/>
      <c r="B43" s="658">
        <v>2</v>
      </c>
      <c r="C43" s="664" t="s">
        <v>27</v>
      </c>
      <c r="D43" s="677">
        <v>-0.15</v>
      </c>
      <c r="E43" s="678"/>
    </row>
    <row r="44" customHeight="1" spans="1:5">
      <c r="A44" s="51"/>
      <c r="B44" s="658">
        <v>3</v>
      </c>
      <c r="C44" s="664" t="s">
        <v>39</v>
      </c>
      <c r="D44" s="679" t="s">
        <v>40</v>
      </c>
      <c r="E44" s="679" t="s">
        <v>41</v>
      </c>
    </row>
    <row r="45" customHeight="1" spans="1:5">
      <c r="A45" s="38"/>
      <c r="B45" s="658">
        <v>3.1</v>
      </c>
      <c r="C45" s="664" t="s">
        <v>42</v>
      </c>
      <c r="D45" s="692">
        <v>0.73</v>
      </c>
      <c r="E45" s="680">
        <f>D35*D45</f>
        <v>45.4564260263775</v>
      </c>
    </row>
    <row r="46" customHeight="1" spans="1:5">
      <c r="A46" s="38"/>
      <c r="B46" s="658">
        <v>3.2</v>
      </c>
      <c r="C46" s="664" t="s">
        <v>43</v>
      </c>
      <c r="D46" s="692">
        <v>0.03</v>
      </c>
      <c r="E46" s="680">
        <f>D35*D46</f>
        <v>1.86807230245387</v>
      </c>
    </row>
    <row r="47" customHeight="1" spans="1:5">
      <c r="A47" s="38"/>
      <c r="B47" s="658">
        <v>3.3</v>
      </c>
      <c r="C47" s="664" t="s">
        <v>44</v>
      </c>
      <c r="D47" s="692">
        <v>0.24</v>
      </c>
      <c r="E47" s="680">
        <f>D35*D47</f>
        <v>14.9445784196309</v>
      </c>
    </row>
    <row r="48" customHeight="1" spans="1:5">
      <c r="A48" s="34"/>
      <c r="B48" s="658">
        <v>4</v>
      </c>
      <c r="C48" s="664" t="s">
        <v>45</v>
      </c>
      <c r="D48" s="679"/>
      <c r="E48" s="680">
        <f>D35*D48</f>
        <v>0</v>
      </c>
    </row>
    <row r="49" customHeight="1" spans="1:5">
      <c r="A49" s="123"/>
      <c r="B49" s="658"/>
      <c r="C49" s="664"/>
      <c r="D49" s="679"/>
      <c r="E49" s="679"/>
    </row>
    <row r="50" customHeight="1" spans="1:5">
      <c r="A50" s="7"/>
      <c r="B50" s="681" t="s">
        <v>46</v>
      </c>
      <c r="C50" s="681" t="s">
        <v>57</v>
      </c>
      <c r="D50" s="661"/>
      <c r="E50" s="693"/>
    </row>
    <row r="51" customHeight="1" spans="1:5">
      <c r="A51" s="38"/>
      <c r="B51" s="658">
        <v>1</v>
      </c>
      <c r="C51" s="664" t="s">
        <v>55</v>
      </c>
      <c r="D51" s="665">
        <f>D52*D56*D57*D58*D59*(1+D60)</f>
        <v>108.434316431458</v>
      </c>
      <c r="E51" s="666"/>
    </row>
    <row r="52" customHeight="1" spans="1:5">
      <c r="A52" s="38"/>
      <c r="B52" s="658">
        <v>1.1</v>
      </c>
      <c r="C52" s="664" t="s">
        <v>56</v>
      </c>
      <c r="D52" s="665">
        <f>D55+(D53-D54)/(E54-D54)*(E55-D55)</f>
        <v>177.180255606958</v>
      </c>
      <c r="E52" s="666"/>
    </row>
    <row r="53" customHeight="1" spans="1:5">
      <c r="A53" s="38"/>
      <c r="B53" s="658"/>
      <c r="C53" s="664"/>
      <c r="D53" s="665">
        <f>D37</f>
        <v>3130.84747729921</v>
      </c>
      <c r="E53" s="666"/>
    </row>
    <row r="54" customHeight="1" spans="1:5">
      <c r="A54" s="51"/>
      <c r="B54" s="658"/>
      <c r="C54" s="672" t="s">
        <v>22</v>
      </c>
      <c r="D54" s="673">
        <f>D38</f>
        <v>3000</v>
      </c>
      <c r="E54" s="673">
        <f>E38</f>
        <v>5000</v>
      </c>
    </row>
    <row r="55" customHeight="1" spans="1:5">
      <c r="A55" s="7"/>
      <c r="B55" s="658"/>
      <c r="C55" s="672" t="s">
        <v>23</v>
      </c>
      <c r="D55" s="674">
        <v>168.07</v>
      </c>
      <c r="E55" s="674">
        <v>307.32</v>
      </c>
    </row>
    <row r="56" customHeight="1" spans="1:5">
      <c r="A56" s="684"/>
      <c r="B56" s="658">
        <v>1.2</v>
      </c>
      <c r="C56" s="664" t="s">
        <v>58</v>
      </c>
      <c r="D56" s="665">
        <v>0.8</v>
      </c>
      <c r="E56" s="666"/>
    </row>
    <row r="57" customHeight="1" spans="1:5">
      <c r="A57" s="74"/>
      <c r="B57" s="658">
        <v>1.3</v>
      </c>
      <c r="C57" s="664" t="s">
        <v>25</v>
      </c>
      <c r="D57" s="665">
        <v>0.85</v>
      </c>
      <c r="E57" s="666"/>
    </row>
    <row r="58" customHeight="1" spans="1:5">
      <c r="A58" s="73"/>
      <c r="B58" s="658">
        <v>1.4</v>
      </c>
      <c r="C58" s="664" t="s">
        <v>38</v>
      </c>
      <c r="D58" s="665">
        <v>0.9</v>
      </c>
      <c r="E58" s="666"/>
    </row>
    <row r="59" customHeight="1" spans="1:5">
      <c r="A59" s="73"/>
      <c r="B59" s="658">
        <v>1.5</v>
      </c>
      <c r="C59" s="664" t="s">
        <v>59</v>
      </c>
      <c r="D59" s="665">
        <v>1</v>
      </c>
      <c r="E59" s="666"/>
    </row>
    <row r="60" customHeight="1" spans="1:5">
      <c r="A60" s="73"/>
      <c r="B60" s="658">
        <v>2</v>
      </c>
      <c r="C60" s="664" t="s">
        <v>60</v>
      </c>
      <c r="D60" s="685"/>
      <c r="E60" s="686"/>
    </row>
    <row r="61" customHeight="1" spans="2:5">
      <c r="B61" s="658">
        <v>3</v>
      </c>
      <c r="C61" s="664" t="s">
        <v>39</v>
      </c>
      <c r="D61" s="679" t="s">
        <v>40</v>
      </c>
      <c r="E61" s="679" t="s">
        <v>41</v>
      </c>
    </row>
    <row r="62" customHeight="1" spans="2:5">
      <c r="B62" s="658">
        <v>3.1</v>
      </c>
      <c r="C62" s="664" t="s">
        <v>48</v>
      </c>
      <c r="D62" s="679"/>
      <c r="E62" s="680">
        <f>D51*D62</f>
        <v>0</v>
      </c>
    </row>
    <row r="63" customHeight="1" spans="2:5">
      <c r="B63" s="658">
        <v>3.2</v>
      </c>
      <c r="C63" s="664" t="s">
        <v>49</v>
      </c>
      <c r="D63" s="679">
        <v>0.57</v>
      </c>
      <c r="E63" s="680">
        <f>D51*D63</f>
        <v>61.8075603659311</v>
      </c>
    </row>
    <row r="64" customHeight="1" spans="2:5">
      <c r="B64" s="658">
        <v>4</v>
      </c>
      <c r="C64" s="664" t="s">
        <v>45</v>
      </c>
      <c r="D64" s="679">
        <v>0.1</v>
      </c>
      <c r="E64" s="680">
        <f>D51*D64</f>
        <v>10.8434316431458</v>
      </c>
    </row>
    <row r="65" customHeight="1" spans="2:5">
      <c r="B65" s="658"/>
      <c r="C65" s="664"/>
      <c r="D65" s="685"/>
      <c r="E65" s="686"/>
    </row>
    <row r="66" customHeight="1" spans="2:5">
      <c r="B66" s="664"/>
      <c r="C66" s="664"/>
      <c r="D66" s="659"/>
      <c r="E66" s="660"/>
    </row>
    <row r="67" customHeight="1" spans="2:5">
      <c r="B67" s="664"/>
      <c r="C67" s="681" t="s">
        <v>61</v>
      </c>
      <c r="D67" s="697">
        <f>D34+D50</f>
        <v>62.2690767484623</v>
      </c>
      <c r="E67" s="698"/>
    </row>
    <row r="68" customHeight="1" spans="2:5">
      <c r="B68" s="664"/>
      <c r="C68" s="681" t="s">
        <v>62</v>
      </c>
      <c r="D68" s="699"/>
      <c r="E68" s="699"/>
    </row>
    <row r="69" ht="45.75" customHeight="1" spans="2:5">
      <c r="B69" s="700" t="s">
        <v>63</v>
      </c>
      <c r="C69" s="701"/>
      <c r="D69" s="701"/>
      <c r="E69" s="701"/>
    </row>
    <row r="71" customHeight="1" spans="2:5">
      <c r="B71" s="655" t="s">
        <v>64</v>
      </c>
      <c r="C71" s="655"/>
      <c r="D71" s="655"/>
      <c r="E71" s="655"/>
    </row>
    <row r="72" customHeight="1" spans="2:5">
      <c r="B72" s="656"/>
      <c r="C72" s="656"/>
      <c r="D72" s="657"/>
      <c r="E72" s="657"/>
    </row>
    <row r="73" customHeight="1" spans="2:5">
      <c r="B73" s="658" t="s">
        <v>1</v>
      </c>
      <c r="C73" s="658" t="s">
        <v>16</v>
      </c>
      <c r="D73" s="659" t="s">
        <v>17</v>
      </c>
      <c r="E73" s="660"/>
    </row>
    <row r="74" customHeight="1" spans="2:9">
      <c r="B74" s="658" t="s">
        <v>34</v>
      </c>
      <c r="C74" s="658" t="s">
        <v>35</v>
      </c>
      <c r="D74" s="661">
        <f>E85+E86+E87+E88</f>
        <v>15.8057597496128</v>
      </c>
      <c r="E74" s="662"/>
      <c r="G74" s="663">
        <f>G77+(G75-G76)/(H76-G76)*(H77-G77)</f>
        <v>2.72017934113255</v>
      </c>
      <c r="H74" s="663"/>
      <c r="I74" s="694">
        <f>G74*1.2*0.8</f>
        <v>2.61137216748725</v>
      </c>
    </row>
    <row r="75" customHeight="1" spans="2:9">
      <c r="B75" s="658">
        <v>1</v>
      </c>
      <c r="C75" s="664" t="s">
        <v>36</v>
      </c>
      <c r="D75" s="665">
        <f>D76*D80*D81*D82*(1+D83)</f>
        <v>15.8057597496128</v>
      </c>
      <c r="E75" s="666"/>
      <c r="G75" s="667">
        <f>D77</f>
        <v>680.044835283138</v>
      </c>
      <c r="H75" s="667"/>
      <c r="I75" s="695"/>
    </row>
    <row r="76" customHeight="1" spans="2:9">
      <c r="B76" s="658">
        <v>1.1</v>
      </c>
      <c r="C76" s="664" t="s">
        <v>37</v>
      </c>
      <c r="D76" s="665">
        <f>D79+(D77-D78)/(E78-D78)*(E79-D79)</f>
        <v>27.3456051031363</v>
      </c>
      <c r="E76" s="666"/>
      <c r="G76" s="668">
        <v>0</v>
      </c>
      <c r="H76" s="668">
        <v>1000</v>
      </c>
      <c r="I76" s="696"/>
    </row>
    <row r="77" customHeight="1" spans="2:9">
      <c r="B77" s="664"/>
      <c r="C77" s="669" t="s">
        <v>21</v>
      </c>
      <c r="D77" s="670">
        <f>'总（姚伏）'!F16</f>
        <v>680.044835283138</v>
      </c>
      <c r="E77" s="671"/>
      <c r="G77" s="658">
        <v>0</v>
      </c>
      <c r="H77" s="658">
        <v>4</v>
      </c>
      <c r="I77" s="696"/>
    </row>
    <row r="78" customHeight="1" spans="2:5">
      <c r="B78" s="658"/>
      <c r="C78" s="672" t="s">
        <v>22</v>
      </c>
      <c r="D78" s="673">
        <v>500</v>
      </c>
      <c r="E78" s="673">
        <v>1000</v>
      </c>
    </row>
    <row r="79" customHeight="1" spans="2:5">
      <c r="B79" s="658"/>
      <c r="C79" s="672" t="s">
        <v>23</v>
      </c>
      <c r="D79" s="674">
        <v>20.9</v>
      </c>
      <c r="E79" s="674">
        <v>38.8</v>
      </c>
    </row>
    <row r="80" customHeight="1" spans="2:5">
      <c r="B80" s="658">
        <v>1.2</v>
      </c>
      <c r="C80" s="664" t="s">
        <v>24</v>
      </c>
      <c r="D80" s="675">
        <v>0.8</v>
      </c>
      <c r="E80" s="676"/>
    </row>
    <row r="81" customHeight="1" spans="2:5">
      <c r="B81" s="658">
        <v>1.3</v>
      </c>
      <c r="C81" s="664" t="s">
        <v>25</v>
      </c>
      <c r="D81" s="675">
        <v>0.85</v>
      </c>
      <c r="E81" s="676"/>
    </row>
    <row r="82" customHeight="1" spans="2:5">
      <c r="B82" s="658">
        <v>1.4</v>
      </c>
      <c r="C82" s="664" t="s">
        <v>38</v>
      </c>
      <c r="D82" s="675">
        <v>1</v>
      </c>
      <c r="E82" s="676"/>
    </row>
    <row r="83" customHeight="1" spans="2:5">
      <c r="B83" s="658">
        <v>2</v>
      </c>
      <c r="C83" s="664" t="s">
        <v>27</v>
      </c>
      <c r="D83" s="677">
        <v>-0.15</v>
      </c>
      <c r="E83" s="678"/>
    </row>
    <row r="84" customHeight="1" spans="2:5">
      <c r="B84" s="658">
        <v>3</v>
      </c>
      <c r="C84" s="664" t="s">
        <v>39</v>
      </c>
      <c r="D84" s="679" t="s">
        <v>40</v>
      </c>
      <c r="E84" s="679" t="s">
        <v>41</v>
      </c>
    </row>
    <row r="85" customHeight="1" spans="2:5">
      <c r="B85" s="658">
        <v>3.1</v>
      </c>
      <c r="C85" s="664" t="s">
        <v>42</v>
      </c>
      <c r="D85" s="679">
        <v>0.25</v>
      </c>
      <c r="E85" s="680">
        <f>D75*D85</f>
        <v>3.9514399374032</v>
      </c>
    </row>
    <row r="86" customHeight="1" spans="2:5">
      <c r="B86" s="658">
        <v>3.2</v>
      </c>
      <c r="C86" s="664" t="s">
        <v>43</v>
      </c>
      <c r="D86" s="679">
        <v>0.2</v>
      </c>
      <c r="E86" s="680">
        <f>D75*D86</f>
        <v>3.16115194992256</v>
      </c>
    </row>
    <row r="87" customHeight="1" spans="2:5">
      <c r="B87" s="658">
        <v>3.3</v>
      </c>
      <c r="C87" s="664" t="s">
        <v>44</v>
      </c>
      <c r="D87" s="679">
        <v>0.55</v>
      </c>
      <c r="E87" s="680">
        <f>D75*D87</f>
        <v>8.69316786228704</v>
      </c>
    </row>
    <row r="88" customHeight="1" spans="2:5">
      <c r="B88" s="658">
        <v>4</v>
      </c>
      <c r="C88" s="664" t="s">
        <v>45</v>
      </c>
      <c r="D88" s="679"/>
      <c r="E88" s="680">
        <f>D75*D88</f>
        <v>0</v>
      </c>
    </row>
    <row r="89" customHeight="1" spans="2:8">
      <c r="B89" s="658"/>
      <c r="C89" s="664"/>
      <c r="D89" s="679"/>
      <c r="E89" s="679"/>
      <c r="H89">
        <f>D98+I74</f>
        <v>18.4171319171001</v>
      </c>
    </row>
    <row r="90" customHeight="1" spans="2:5">
      <c r="B90" s="681" t="s">
        <v>46</v>
      </c>
      <c r="C90" s="681" t="s">
        <v>47</v>
      </c>
      <c r="D90" s="661"/>
      <c r="E90" s="662"/>
    </row>
    <row r="91" customHeight="1" spans="2:5">
      <c r="B91" s="658">
        <v>3</v>
      </c>
      <c r="C91" s="664" t="s">
        <v>39</v>
      </c>
      <c r="D91" s="679" t="s">
        <v>40</v>
      </c>
      <c r="E91" s="679" t="s">
        <v>41</v>
      </c>
    </row>
    <row r="92" customHeight="1" spans="2:5">
      <c r="B92" s="658">
        <v>3.1</v>
      </c>
      <c r="C92" s="664" t="s">
        <v>48</v>
      </c>
      <c r="D92" s="679"/>
      <c r="E92" s="680">
        <f t="shared" ref="E92:E94" si="0">D92*E132</f>
        <v>0</v>
      </c>
    </row>
    <row r="93" customHeight="1" spans="2:5">
      <c r="B93" s="658">
        <v>3.2</v>
      </c>
      <c r="C93" s="664" t="s">
        <v>49</v>
      </c>
      <c r="D93" s="679">
        <v>0.4</v>
      </c>
      <c r="E93" s="680">
        <f t="shared" si="0"/>
        <v>30.4484975338949</v>
      </c>
    </row>
    <row r="94" customHeight="1" spans="2:5">
      <c r="B94" s="658">
        <v>4</v>
      </c>
      <c r="C94" s="664" t="s">
        <v>45</v>
      </c>
      <c r="D94" s="679">
        <v>0.1</v>
      </c>
      <c r="E94" s="680">
        <f t="shared" si="0"/>
        <v>1.33546041815329</v>
      </c>
    </row>
    <row r="95" customHeight="1" spans="2:5">
      <c r="B95" s="658">
        <v>2</v>
      </c>
      <c r="C95" s="664" t="s">
        <v>40</v>
      </c>
      <c r="D95" s="682">
        <v>0.4</v>
      </c>
      <c r="E95" s="683"/>
    </row>
    <row r="96" customHeight="1" spans="2:5">
      <c r="B96" s="658"/>
      <c r="C96" s="664"/>
      <c r="D96" s="685"/>
      <c r="E96" s="686"/>
    </row>
    <row r="97" customHeight="1" spans="2:5">
      <c r="B97" s="664"/>
      <c r="C97" s="664"/>
      <c r="D97" s="659"/>
      <c r="E97" s="660"/>
    </row>
    <row r="98" customHeight="1" spans="2:5">
      <c r="B98" s="664"/>
      <c r="C98" s="681" t="s">
        <v>50</v>
      </c>
      <c r="D98" s="687">
        <f>D74+D90</f>
        <v>15.8057597496128</v>
      </c>
      <c r="E98" s="688"/>
    </row>
    <row r="99" customHeight="1" spans="2:5">
      <c r="B99" s="664"/>
      <c r="C99" s="681" t="s">
        <v>51</v>
      </c>
      <c r="D99" s="689"/>
      <c r="E99" s="689"/>
    </row>
    <row r="100" customHeight="1" spans="2:5">
      <c r="B100" s="690" t="s">
        <v>52</v>
      </c>
      <c r="C100" s="691"/>
      <c r="D100" s="691"/>
      <c r="E100" s="691"/>
    </row>
    <row r="101" customHeight="1" spans="2:5">
      <c r="B101" s="655" t="s">
        <v>65</v>
      </c>
      <c r="C101" s="655"/>
      <c r="D101" s="655"/>
      <c r="E101" s="655"/>
    </row>
    <row r="102" customHeight="1" spans="2:5">
      <c r="B102" s="656"/>
      <c r="C102" s="656"/>
      <c r="D102" s="657"/>
      <c r="E102" s="657"/>
    </row>
    <row r="103" customHeight="1" spans="2:5">
      <c r="B103" s="658" t="s">
        <v>1</v>
      </c>
      <c r="C103" s="658" t="s">
        <v>16</v>
      </c>
      <c r="D103" s="659" t="s">
        <v>17</v>
      </c>
      <c r="E103" s="660"/>
    </row>
    <row r="104" customHeight="1" spans="2:5">
      <c r="B104" s="681" t="s">
        <v>34</v>
      </c>
      <c r="C104" s="681" t="s">
        <v>54</v>
      </c>
      <c r="D104" s="661">
        <f>E115+E116+E117+E118</f>
        <v>15.8057597496128</v>
      </c>
      <c r="E104" s="662"/>
    </row>
    <row r="105" customHeight="1" spans="2:5">
      <c r="B105" s="658">
        <v>1</v>
      </c>
      <c r="C105" s="664" t="s">
        <v>55</v>
      </c>
      <c r="D105" s="665">
        <f>D106*D110*D111*D112*(1+D113)</f>
        <v>15.8057597496128</v>
      </c>
      <c r="E105" s="666"/>
    </row>
    <row r="106" customHeight="1" spans="2:5">
      <c r="B106" s="658">
        <v>1.1</v>
      </c>
      <c r="C106" s="664" t="s">
        <v>56</v>
      </c>
      <c r="D106" s="665">
        <f>D109+(D107-D108)/(E108-D108)*(E109-D109)</f>
        <v>27.3456051031363</v>
      </c>
      <c r="E106" s="666"/>
    </row>
    <row r="107" customHeight="1" spans="2:5">
      <c r="B107" s="664"/>
      <c r="C107" s="669" t="s">
        <v>21</v>
      </c>
      <c r="D107" s="670">
        <f t="shared" ref="D107:D109" si="1">D77</f>
        <v>680.044835283138</v>
      </c>
      <c r="E107" s="671"/>
    </row>
    <row r="108" customHeight="1" spans="2:5">
      <c r="B108" s="658"/>
      <c r="C108" s="672" t="s">
        <v>22</v>
      </c>
      <c r="D108" s="673">
        <f t="shared" si="1"/>
        <v>500</v>
      </c>
      <c r="E108" s="673">
        <f>E78</f>
        <v>1000</v>
      </c>
    </row>
    <row r="109" customHeight="1" spans="2:5">
      <c r="B109" s="658"/>
      <c r="C109" s="672" t="s">
        <v>23</v>
      </c>
      <c r="D109" s="674">
        <f t="shared" si="1"/>
        <v>20.9</v>
      </c>
      <c r="E109" s="674">
        <f>E79</f>
        <v>38.8</v>
      </c>
    </row>
    <row r="110" customHeight="1" spans="2:5">
      <c r="B110" s="658">
        <v>1.2</v>
      </c>
      <c r="C110" s="664" t="s">
        <v>24</v>
      </c>
      <c r="D110" s="675">
        <v>0.8</v>
      </c>
      <c r="E110" s="676"/>
    </row>
    <row r="111" customHeight="1" spans="2:5">
      <c r="B111" s="658">
        <v>1.3</v>
      </c>
      <c r="C111" s="664" t="s">
        <v>25</v>
      </c>
      <c r="D111" s="675">
        <v>0.85</v>
      </c>
      <c r="E111" s="676"/>
    </row>
    <row r="112" customHeight="1" spans="2:5">
      <c r="B112" s="658">
        <v>1.4</v>
      </c>
      <c r="C112" s="664" t="s">
        <v>38</v>
      </c>
      <c r="D112" s="675">
        <v>1</v>
      </c>
      <c r="E112" s="676"/>
    </row>
    <row r="113" customHeight="1" spans="2:5">
      <c r="B113" s="658">
        <v>2</v>
      </c>
      <c r="C113" s="664" t="s">
        <v>27</v>
      </c>
      <c r="D113" s="677">
        <v>-0.15</v>
      </c>
      <c r="E113" s="678"/>
    </row>
    <row r="114" customHeight="1" spans="2:5">
      <c r="B114" s="658">
        <v>3</v>
      </c>
      <c r="C114" s="664" t="s">
        <v>39</v>
      </c>
      <c r="D114" s="679" t="s">
        <v>40</v>
      </c>
      <c r="E114" s="679" t="s">
        <v>41</v>
      </c>
    </row>
    <row r="115" customHeight="1" spans="2:5">
      <c r="B115" s="658">
        <v>3.1</v>
      </c>
      <c r="C115" s="664" t="s">
        <v>42</v>
      </c>
      <c r="D115" s="692">
        <v>0.73</v>
      </c>
      <c r="E115" s="680">
        <f>D105*D115</f>
        <v>11.5382046172173</v>
      </c>
    </row>
    <row r="116" customHeight="1" spans="2:5">
      <c r="B116" s="658">
        <v>3.2</v>
      </c>
      <c r="C116" s="664" t="s">
        <v>43</v>
      </c>
      <c r="D116" s="692">
        <v>0.03</v>
      </c>
      <c r="E116" s="680">
        <f>D105*D116</f>
        <v>0.474172792488384</v>
      </c>
    </row>
    <row r="117" customHeight="1" spans="2:5">
      <c r="B117" s="658">
        <v>3.3</v>
      </c>
      <c r="C117" s="664" t="s">
        <v>44</v>
      </c>
      <c r="D117" s="692">
        <v>0.24</v>
      </c>
      <c r="E117" s="680">
        <f>D105*D117</f>
        <v>3.79338233990707</v>
      </c>
    </row>
    <row r="118" customHeight="1" spans="2:5">
      <c r="B118" s="658">
        <v>4</v>
      </c>
      <c r="C118" s="664" t="s">
        <v>45</v>
      </c>
      <c r="D118" s="679"/>
      <c r="E118" s="680">
        <f>D105*D118</f>
        <v>0</v>
      </c>
    </row>
    <row r="119" customHeight="1" spans="2:5">
      <c r="B119" s="658"/>
      <c r="C119" s="664"/>
      <c r="D119" s="679"/>
      <c r="E119" s="679"/>
    </row>
    <row r="120" customHeight="1" spans="2:5">
      <c r="B120" s="681" t="s">
        <v>46</v>
      </c>
      <c r="C120" s="681" t="s">
        <v>57</v>
      </c>
      <c r="D120" s="661"/>
      <c r="E120" s="693"/>
    </row>
    <row r="121" customHeight="1" spans="2:5">
      <c r="B121" s="658">
        <v>1</v>
      </c>
      <c r="C121" s="664" t="s">
        <v>55</v>
      </c>
      <c r="D121" s="665">
        <f>D122*D126*D127*D128*D129*(1+D130)</f>
        <v>133.546041815329</v>
      </c>
      <c r="E121" s="666"/>
    </row>
    <row r="122" customHeight="1" spans="2:5">
      <c r="B122" s="658">
        <v>1.1</v>
      </c>
      <c r="C122" s="664" t="s">
        <v>56</v>
      </c>
      <c r="D122" s="665">
        <f>D125+(D123-D124)/(E124-D124)*(E125-D125)</f>
        <v>218.212486626354</v>
      </c>
      <c r="E122" s="666"/>
    </row>
    <row r="123" customHeight="1" spans="2:5">
      <c r="B123" s="658"/>
      <c r="C123" s="664"/>
      <c r="D123" s="665">
        <f>D107</f>
        <v>680.044835283138</v>
      </c>
      <c r="E123" s="666"/>
    </row>
    <row r="124" customHeight="1" spans="2:5">
      <c r="B124" s="658"/>
      <c r="C124" s="672" t="s">
        <v>22</v>
      </c>
      <c r="D124" s="673">
        <f>D108</f>
        <v>500</v>
      </c>
      <c r="E124" s="673">
        <f>E108</f>
        <v>1000</v>
      </c>
    </row>
    <row r="125" customHeight="1" spans="2:5">
      <c r="B125" s="658"/>
      <c r="C125" s="672" t="s">
        <v>23</v>
      </c>
      <c r="D125" s="674">
        <v>168.07</v>
      </c>
      <c r="E125" s="674">
        <v>307.32</v>
      </c>
    </row>
    <row r="126" customHeight="1" spans="2:5">
      <c r="B126" s="658">
        <v>1.2</v>
      </c>
      <c r="C126" s="664" t="s">
        <v>58</v>
      </c>
      <c r="D126" s="665">
        <v>0.8</v>
      </c>
      <c r="E126" s="666"/>
    </row>
    <row r="127" customHeight="1" spans="2:5">
      <c r="B127" s="658">
        <v>1.3</v>
      </c>
      <c r="C127" s="664" t="s">
        <v>25</v>
      </c>
      <c r="D127" s="665">
        <v>0.85</v>
      </c>
      <c r="E127" s="666"/>
    </row>
    <row r="128" customHeight="1" spans="2:5">
      <c r="B128" s="658">
        <v>1.4</v>
      </c>
      <c r="C128" s="664" t="s">
        <v>38</v>
      </c>
      <c r="D128" s="665">
        <v>0.9</v>
      </c>
      <c r="E128" s="666"/>
    </row>
    <row r="129" customHeight="1" spans="2:5">
      <c r="B129" s="658">
        <v>1.5</v>
      </c>
      <c r="C129" s="664" t="s">
        <v>59</v>
      </c>
      <c r="D129" s="665">
        <v>1</v>
      </c>
      <c r="E129" s="666"/>
    </row>
    <row r="130" customHeight="1" spans="2:5">
      <c r="B130" s="658">
        <v>2</v>
      </c>
      <c r="C130" s="664" t="s">
        <v>60</v>
      </c>
      <c r="D130" s="685"/>
      <c r="E130" s="686"/>
    </row>
    <row r="131" customHeight="1" spans="2:5">
      <c r="B131" s="658">
        <v>3</v>
      </c>
      <c r="C131" s="664" t="s">
        <v>39</v>
      </c>
      <c r="D131" s="679" t="s">
        <v>40</v>
      </c>
      <c r="E131" s="679" t="s">
        <v>41</v>
      </c>
    </row>
    <row r="132" customHeight="1" spans="2:5">
      <c r="B132" s="658">
        <v>3.1</v>
      </c>
      <c r="C132" s="664" t="s">
        <v>48</v>
      </c>
      <c r="D132" s="679"/>
      <c r="E132" s="680">
        <f>D121*D132</f>
        <v>0</v>
      </c>
    </row>
    <row r="133" customHeight="1" spans="2:5">
      <c r="B133" s="658">
        <v>3.2</v>
      </c>
      <c r="C133" s="664" t="s">
        <v>49</v>
      </c>
      <c r="D133" s="679">
        <v>0.57</v>
      </c>
      <c r="E133" s="680">
        <f>D121*D133</f>
        <v>76.1212438347373</v>
      </c>
    </row>
    <row r="134" customHeight="1" spans="2:5">
      <c r="B134" s="658">
        <v>4</v>
      </c>
      <c r="C134" s="664" t="s">
        <v>45</v>
      </c>
      <c r="D134" s="679">
        <v>0.1</v>
      </c>
      <c r="E134" s="680">
        <f>D121*D134</f>
        <v>13.3546041815329</v>
      </c>
    </row>
    <row r="135" customHeight="1" spans="2:5">
      <c r="B135" s="658"/>
      <c r="C135" s="664"/>
      <c r="D135" s="685"/>
      <c r="E135" s="686"/>
    </row>
    <row r="136" customHeight="1" spans="2:5">
      <c r="B136" s="664"/>
      <c r="C136" s="664"/>
      <c r="D136" s="659"/>
      <c r="E136" s="660"/>
    </row>
    <row r="137" customHeight="1" spans="2:5">
      <c r="B137" s="664"/>
      <c r="C137" s="681" t="s">
        <v>61</v>
      </c>
      <c r="D137" s="697">
        <f>D104+D120</f>
        <v>15.8057597496128</v>
      </c>
      <c r="E137" s="698"/>
    </row>
    <row r="138" customHeight="1" spans="2:5">
      <c r="B138" s="664"/>
      <c r="C138" s="681" t="s">
        <v>62</v>
      </c>
      <c r="D138" s="699"/>
      <c r="E138" s="699"/>
    </row>
    <row r="139" customHeight="1" spans="2:5">
      <c r="B139" s="700" t="s">
        <v>63</v>
      </c>
      <c r="C139" s="701"/>
      <c r="D139" s="701"/>
      <c r="E139" s="701"/>
    </row>
    <row r="141" customHeight="1" spans="2:5">
      <c r="B141" s="655" t="s">
        <v>66</v>
      </c>
      <c r="C141" s="655"/>
      <c r="D141" s="655"/>
      <c r="E141" s="655"/>
    </row>
    <row r="142" customHeight="1" spans="2:5">
      <c r="B142" s="656"/>
      <c r="C142" s="656"/>
      <c r="D142" s="657"/>
      <c r="E142" s="657"/>
    </row>
    <row r="143" customHeight="1" spans="2:5">
      <c r="B143" s="658" t="s">
        <v>1</v>
      </c>
      <c r="C143" s="658" t="s">
        <v>16</v>
      </c>
      <c r="D143" s="659" t="s">
        <v>17</v>
      </c>
      <c r="E143" s="660"/>
    </row>
    <row r="144" customHeight="1" spans="2:9">
      <c r="B144" s="658" t="s">
        <v>34</v>
      </c>
      <c r="C144" s="658" t="s">
        <v>35</v>
      </c>
      <c r="D144" s="661">
        <f>E155+E156+E157+E158</f>
        <v>13.2068760325118</v>
      </c>
      <c r="E144" s="662"/>
      <c r="G144" s="663">
        <f>G147+(G145-G146)/(H146-G146)*(H147-G147)</f>
        <v>2.2177951387972</v>
      </c>
      <c r="H144" s="663"/>
      <c r="I144" s="694">
        <f>G144*1.2*0.8</f>
        <v>2.12908333324532</v>
      </c>
    </row>
    <row r="145" customHeight="1" spans="2:9">
      <c r="B145" s="658">
        <v>1</v>
      </c>
      <c r="C145" s="664" t="s">
        <v>36</v>
      </c>
      <c r="D145" s="665">
        <f>D146*D150*D151*D152*(1+D153)</f>
        <v>13.2068760325118</v>
      </c>
      <c r="E145" s="666"/>
      <c r="G145" s="667">
        <f>D147</f>
        <v>554.448784699301</v>
      </c>
      <c r="H145" s="667"/>
      <c r="I145" s="695"/>
    </row>
    <row r="146" customHeight="1" spans="2:9">
      <c r="B146" s="658">
        <v>1.1</v>
      </c>
      <c r="C146" s="664" t="s">
        <v>37</v>
      </c>
      <c r="D146" s="665">
        <f>D149+(D147-D148)/(E148-D148)*(E149-D149)</f>
        <v>22.849266492235</v>
      </c>
      <c r="E146" s="666"/>
      <c r="G146" s="668">
        <v>0</v>
      </c>
      <c r="H146" s="668">
        <v>1000</v>
      </c>
      <c r="I146" s="696"/>
    </row>
    <row r="147" customHeight="1" spans="2:9">
      <c r="B147" s="664"/>
      <c r="C147" s="669" t="s">
        <v>21</v>
      </c>
      <c r="D147" s="670">
        <f>'总（城关）'!F16</f>
        <v>554.448784699301</v>
      </c>
      <c r="E147" s="671"/>
      <c r="G147" s="658">
        <v>0</v>
      </c>
      <c r="H147" s="658">
        <v>4</v>
      </c>
      <c r="I147" s="696"/>
    </row>
    <row r="148" customHeight="1" spans="2:5">
      <c r="B148" s="658"/>
      <c r="C148" s="672" t="s">
        <v>22</v>
      </c>
      <c r="D148" s="673">
        <v>500</v>
      </c>
      <c r="E148" s="673">
        <v>1000</v>
      </c>
    </row>
    <row r="149" customHeight="1" spans="2:5">
      <c r="B149" s="658"/>
      <c r="C149" s="672" t="s">
        <v>23</v>
      </c>
      <c r="D149" s="674">
        <v>20.9</v>
      </c>
      <c r="E149" s="674">
        <v>38.8</v>
      </c>
    </row>
    <row r="150" customHeight="1" spans="2:5">
      <c r="B150" s="658">
        <v>1.2</v>
      </c>
      <c r="C150" s="664" t="s">
        <v>24</v>
      </c>
      <c r="D150" s="675">
        <v>0.8</v>
      </c>
      <c r="E150" s="676"/>
    </row>
    <row r="151" customHeight="1" spans="2:5">
      <c r="B151" s="658">
        <v>1.3</v>
      </c>
      <c r="C151" s="664" t="s">
        <v>25</v>
      </c>
      <c r="D151" s="675">
        <v>0.85</v>
      </c>
      <c r="E151" s="676"/>
    </row>
    <row r="152" customHeight="1" spans="2:5">
      <c r="B152" s="658">
        <v>1.4</v>
      </c>
      <c r="C152" s="664" t="s">
        <v>38</v>
      </c>
      <c r="D152" s="675">
        <v>1</v>
      </c>
      <c r="E152" s="676"/>
    </row>
    <row r="153" customHeight="1" spans="2:5">
      <c r="B153" s="658">
        <v>2</v>
      </c>
      <c r="C153" s="664" t="s">
        <v>27</v>
      </c>
      <c r="D153" s="677">
        <v>-0.15</v>
      </c>
      <c r="E153" s="678"/>
    </row>
    <row r="154" customHeight="1" spans="2:5">
      <c r="B154" s="658">
        <v>3</v>
      </c>
      <c r="C154" s="664" t="s">
        <v>39</v>
      </c>
      <c r="D154" s="679" t="s">
        <v>40</v>
      </c>
      <c r="E154" s="679" t="s">
        <v>41</v>
      </c>
    </row>
    <row r="155" customHeight="1" spans="2:5">
      <c r="B155" s="658">
        <v>3.1</v>
      </c>
      <c r="C155" s="664" t="s">
        <v>42</v>
      </c>
      <c r="D155" s="679">
        <v>0.25</v>
      </c>
      <c r="E155" s="680">
        <f>D145*D155</f>
        <v>3.30171900812795</v>
      </c>
    </row>
    <row r="156" customHeight="1" spans="2:5">
      <c r="B156" s="658">
        <v>3.2</v>
      </c>
      <c r="C156" s="664" t="s">
        <v>43</v>
      </c>
      <c r="D156" s="679">
        <v>0.2</v>
      </c>
      <c r="E156" s="680">
        <f>D145*D156</f>
        <v>2.64137520650236</v>
      </c>
    </row>
    <row r="157" customHeight="1" spans="2:5">
      <c r="B157" s="658">
        <v>3.3</v>
      </c>
      <c r="C157" s="664" t="s">
        <v>44</v>
      </c>
      <c r="D157" s="679">
        <v>0.55</v>
      </c>
      <c r="E157" s="680">
        <f>D145*D157</f>
        <v>7.2637818178815</v>
      </c>
    </row>
    <row r="158" customHeight="1" spans="2:5">
      <c r="B158" s="658">
        <v>4</v>
      </c>
      <c r="C158" s="664" t="s">
        <v>45</v>
      </c>
      <c r="D158" s="679"/>
      <c r="E158" s="680">
        <f>D145*D158</f>
        <v>0</v>
      </c>
    </row>
    <row r="159" customHeight="1" spans="2:8">
      <c r="B159" s="658"/>
      <c r="C159" s="664"/>
      <c r="D159" s="679"/>
      <c r="E159" s="679"/>
      <c r="H159">
        <f>D168+I144</f>
        <v>15.3359593657571</v>
      </c>
    </row>
    <row r="160" customHeight="1" spans="2:5">
      <c r="B160" s="681" t="s">
        <v>46</v>
      </c>
      <c r="C160" s="681" t="s">
        <v>47</v>
      </c>
      <c r="D160" s="661"/>
      <c r="E160" s="662"/>
    </row>
    <row r="161" customHeight="1" spans="2:5">
      <c r="B161" s="658">
        <v>3</v>
      </c>
      <c r="C161" s="664" t="s">
        <v>39</v>
      </c>
      <c r="D161" s="679" t="s">
        <v>40</v>
      </c>
      <c r="E161" s="679" t="s">
        <v>41</v>
      </c>
    </row>
    <row r="162" customHeight="1" spans="2:5">
      <c r="B162" s="658">
        <v>3.1</v>
      </c>
      <c r="C162" s="664" t="s">
        <v>48</v>
      </c>
      <c r="D162" s="679"/>
      <c r="E162" s="680">
        <f t="shared" ref="E162:E164" si="2">D162*E202</f>
        <v>0</v>
      </c>
    </row>
    <row r="163" customHeight="1" spans="2:5">
      <c r="B163" s="658">
        <v>3.2</v>
      </c>
      <c r="C163" s="664" t="s">
        <v>49</v>
      </c>
      <c r="D163" s="679">
        <v>0.4</v>
      </c>
      <c r="E163" s="680">
        <f t="shared" si="2"/>
        <v>25.5677375456718</v>
      </c>
    </row>
    <row r="164" customHeight="1" spans="2:5">
      <c r="B164" s="658">
        <v>4</v>
      </c>
      <c r="C164" s="664" t="s">
        <v>45</v>
      </c>
      <c r="D164" s="679">
        <v>0.1</v>
      </c>
      <c r="E164" s="680">
        <f t="shared" si="2"/>
        <v>1.12139199761718</v>
      </c>
    </row>
    <row r="165" customHeight="1" spans="2:5">
      <c r="B165" s="658">
        <v>2</v>
      </c>
      <c r="C165" s="664" t="s">
        <v>40</v>
      </c>
      <c r="D165" s="682">
        <v>0.4</v>
      </c>
      <c r="E165" s="683"/>
    </row>
    <row r="166" customHeight="1" spans="2:5">
      <c r="B166" s="658"/>
      <c r="C166" s="664"/>
      <c r="D166" s="685"/>
      <c r="E166" s="686"/>
    </row>
    <row r="167" customHeight="1" spans="2:5">
      <c r="B167" s="664"/>
      <c r="C167" s="664"/>
      <c r="D167" s="659"/>
      <c r="E167" s="660"/>
    </row>
    <row r="168" customHeight="1" spans="2:5">
      <c r="B168" s="664"/>
      <c r="C168" s="681" t="s">
        <v>50</v>
      </c>
      <c r="D168" s="687">
        <f>D144+D160</f>
        <v>13.2068760325118</v>
      </c>
      <c r="E168" s="688"/>
    </row>
    <row r="169" customHeight="1" spans="2:5">
      <c r="B169" s="664"/>
      <c r="C169" s="681" t="s">
        <v>51</v>
      </c>
      <c r="D169" s="689"/>
      <c r="E169" s="689"/>
    </row>
    <row r="170" customHeight="1" spans="2:5">
      <c r="B170" s="690" t="s">
        <v>52</v>
      </c>
      <c r="C170" s="691"/>
      <c r="D170" s="691"/>
      <c r="E170" s="691"/>
    </row>
    <row r="171" ht="33" customHeight="1" spans="2:5">
      <c r="B171" s="655" t="s">
        <v>67</v>
      </c>
      <c r="C171" s="655"/>
      <c r="D171" s="655"/>
      <c r="E171" s="655"/>
    </row>
    <row r="172" customHeight="1" spans="2:5">
      <c r="B172" s="656"/>
      <c r="C172" s="656"/>
      <c r="D172" s="657"/>
      <c r="E172" s="657"/>
    </row>
    <row r="173" customHeight="1" spans="2:5">
      <c r="B173" s="658" t="s">
        <v>1</v>
      </c>
      <c r="C173" s="658" t="s">
        <v>16</v>
      </c>
      <c r="D173" s="659" t="s">
        <v>17</v>
      </c>
      <c r="E173" s="660"/>
    </row>
    <row r="174" customHeight="1" spans="2:5">
      <c r="B174" s="681" t="s">
        <v>34</v>
      </c>
      <c r="C174" s="681" t="s">
        <v>54</v>
      </c>
      <c r="D174" s="661">
        <f>E185+E186+E187+E188</f>
        <v>13.2068760325118</v>
      </c>
      <c r="E174" s="662"/>
    </row>
    <row r="175" customHeight="1" spans="2:5">
      <c r="B175" s="658">
        <v>1</v>
      </c>
      <c r="C175" s="664" t="s">
        <v>55</v>
      </c>
      <c r="D175" s="665">
        <f>D176*D180*D181*D182*(1+D183)</f>
        <v>13.2068760325118</v>
      </c>
      <c r="E175" s="666"/>
    </row>
    <row r="176" customHeight="1" spans="2:5">
      <c r="B176" s="658">
        <v>1.1</v>
      </c>
      <c r="C176" s="664" t="s">
        <v>56</v>
      </c>
      <c r="D176" s="665">
        <f>D179+(D177-D178)/(E178-D178)*(E179-D179)</f>
        <v>22.849266492235</v>
      </c>
      <c r="E176" s="666"/>
    </row>
    <row r="177" customHeight="1" spans="2:5">
      <c r="B177" s="664"/>
      <c r="C177" s="669" t="s">
        <v>21</v>
      </c>
      <c r="D177" s="670">
        <f t="shared" ref="D177:D179" si="3">D147</f>
        <v>554.448784699301</v>
      </c>
      <c r="E177" s="671"/>
    </row>
    <row r="178" customHeight="1" spans="2:5">
      <c r="B178" s="658"/>
      <c r="C178" s="672" t="s">
        <v>22</v>
      </c>
      <c r="D178" s="673">
        <f t="shared" si="3"/>
        <v>500</v>
      </c>
      <c r="E178" s="673">
        <f>E148</f>
        <v>1000</v>
      </c>
    </row>
    <row r="179" customHeight="1" spans="2:5">
      <c r="B179" s="658"/>
      <c r="C179" s="672" t="s">
        <v>23</v>
      </c>
      <c r="D179" s="674">
        <f t="shared" si="3"/>
        <v>20.9</v>
      </c>
      <c r="E179" s="674">
        <f>E149</f>
        <v>38.8</v>
      </c>
    </row>
    <row r="180" customHeight="1" spans="2:5">
      <c r="B180" s="658">
        <v>1.2</v>
      </c>
      <c r="C180" s="664" t="s">
        <v>24</v>
      </c>
      <c r="D180" s="675">
        <v>0.8</v>
      </c>
      <c r="E180" s="676"/>
    </row>
    <row r="181" customHeight="1" spans="2:5">
      <c r="B181" s="658">
        <v>1.3</v>
      </c>
      <c r="C181" s="664" t="s">
        <v>25</v>
      </c>
      <c r="D181" s="675">
        <v>0.85</v>
      </c>
      <c r="E181" s="676"/>
    </row>
    <row r="182" customHeight="1" spans="2:5">
      <c r="B182" s="658">
        <v>1.4</v>
      </c>
      <c r="C182" s="664" t="s">
        <v>38</v>
      </c>
      <c r="D182" s="675">
        <v>1</v>
      </c>
      <c r="E182" s="676"/>
    </row>
    <row r="183" customHeight="1" spans="2:5">
      <c r="B183" s="658">
        <v>2</v>
      </c>
      <c r="C183" s="664" t="s">
        <v>27</v>
      </c>
      <c r="D183" s="677">
        <v>-0.15</v>
      </c>
      <c r="E183" s="678"/>
    </row>
    <row r="184" customHeight="1" spans="2:5">
      <c r="B184" s="658">
        <v>3</v>
      </c>
      <c r="C184" s="664" t="s">
        <v>39</v>
      </c>
      <c r="D184" s="679" t="s">
        <v>40</v>
      </c>
      <c r="E184" s="679" t="s">
        <v>41</v>
      </c>
    </row>
    <row r="185" customHeight="1" spans="2:5">
      <c r="B185" s="658">
        <v>3.1</v>
      </c>
      <c r="C185" s="664" t="s">
        <v>42</v>
      </c>
      <c r="D185" s="692">
        <v>0.73</v>
      </c>
      <c r="E185" s="680">
        <f>D175*D185</f>
        <v>9.64101950373363</v>
      </c>
    </row>
    <row r="186" customHeight="1" spans="2:5">
      <c r="B186" s="658">
        <v>3.2</v>
      </c>
      <c r="C186" s="664" t="s">
        <v>43</v>
      </c>
      <c r="D186" s="692">
        <v>0.03</v>
      </c>
      <c r="E186" s="680">
        <f>D175*D186</f>
        <v>0.396206280975355</v>
      </c>
    </row>
    <row r="187" customHeight="1" spans="2:5">
      <c r="B187" s="658">
        <v>3.3</v>
      </c>
      <c r="C187" s="664" t="s">
        <v>44</v>
      </c>
      <c r="D187" s="692">
        <v>0.24</v>
      </c>
      <c r="E187" s="680">
        <f>D175*D187</f>
        <v>3.16965024780284</v>
      </c>
    </row>
    <row r="188" customHeight="1" spans="2:5">
      <c r="B188" s="658">
        <v>4</v>
      </c>
      <c r="C188" s="664" t="s">
        <v>45</v>
      </c>
      <c r="D188" s="679"/>
      <c r="E188" s="680">
        <f>D175*D188</f>
        <v>0</v>
      </c>
    </row>
    <row r="189" customHeight="1" spans="2:5">
      <c r="B189" s="658"/>
      <c r="C189" s="664"/>
      <c r="D189" s="679"/>
      <c r="E189" s="679"/>
    </row>
    <row r="190" customHeight="1" spans="2:5">
      <c r="B190" s="681" t="s">
        <v>46</v>
      </c>
      <c r="C190" s="681" t="s">
        <v>57</v>
      </c>
      <c r="D190" s="661"/>
      <c r="E190" s="693"/>
    </row>
    <row r="191" customHeight="1" spans="2:5">
      <c r="B191" s="658">
        <v>1</v>
      </c>
      <c r="C191" s="664" t="s">
        <v>55</v>
      </c>
      <c r="D191" s="665">
        <f>D192*D196*D197*D198*D199*(1+D200)</f>
        <v>112.139199761718</v>
      </c>
      <c r="E191" s="666"/>
    </row>
    <row r="192" customHeight="1" spans="2:5">
      <c r="B192" s="658">
        <v>1.1</v>
      </c>
      <c r="C192" s="664" t="s">
        <v>56</v>
      </c>
      <c r="D192" s="665">
        <f>D195+(D193-D194)/(E194-D194)*(E195-D195)</f>
        <v>183.233986538755</v>
      </c>
      <c r="E192" s="666"/>
    </row>
    <row r="193" customHeight="1" spans="2:5">
      <c r="B193" s="658"/>
      <c r="C193" s="664"/>
      <c r="D193" s="665">
        <f>D177</f>
        <v>554.448784699301</v>
      </c>
      <c r="E193" s="666"/>
    </row>
    <row r="194" customHeight="1" spans="2:5">
      <c r="B194" s="658"/>
      <c r="C194" s="672" t="s">
        <v>22</v>
      </c>
      <c r="D194" s="673">
        <f>D178</f>
        <v>500</v>
      </c>
      <c r="E194" s="673">
        <f>E178</f>
        <v>1000</v>
      </c>
    </row>
    <row r="195" customHeight="1" spans="2:5">
      <c r="B195" s="658"/>
      <c r="C195" s="672" t="s">
        <v>23</v>
      </c>
      <c r="D195" s="674">
        <v>168.07</v>
      </c>
      <c r="E195" s="674">
        <v>307.32</v>
      </c>
    </row>
    <row r="196" customHeight="1" spans="2:5">
      <c r="B196" s="658">
        <v>1.2</v>
      </c>
      <c r="C196" s="664" t="s">
        <v>58</v>
      </c>
      <c r="D196" s="665">
        <v>0.8</v>
      </c>
      <c r="E196" s="666"/>
    </row>
    <row r="197" customHeight="1" spans="2:5">
      <c r="B197" s="658">
        <v>1.3</v>
      </c>
      <c r="C197" s="664" t="s">
        <v>25</v>
      </c>
      <c r="D197" s="665">
        <v>0.85</v>
      </c>
      <c r="E197" s="666"/>
    </row>
    <row r="198" customHeight="1" spans="2:5">
      <c r="B198" s="658">
        <v>1.4</v>
      </c>
      <c r="C198" s="664" t="s">
        <v>38</v>
      </c>
      <c r="D198" s="665">
        <v>0.9</v>
      </c>
      <c r="E198" s="666"/>
    </row>
    <row r="199" customHeight="1" spans="2:5">
      <c r="B199" s="658">
        <v>1.5</v>
      </c>
      <c r="C199" s="664" t="s">
        <v>59</v>
      </c>
      <c r="D199" s="665">
        <v>1</v>
      </c>
      <c r="E199" s="666"/>
    </row>
    <row r="200" customHeight="1" spans="2:5">
      <c r="B200" s="658">
        <v>2</v>
      </c>
      <c r="C200" s="664" t="s">
        <v>60</v>
      </c>
      <c r="D200" s="685"/>
      <c r="E200" s="686"/>
    </row>
    <row r="201" customHeight="1" spans="2:5">
      <c r="B201" s="658">
        <v>3</v>
      </c>
      <c r="C201" s="664" t="s">
        <v>39</v>
      </c>
      <c r="D201" s="679" t="s">
        <v>40</v>
      </c>
      <c r="E201" s="679" t="s">
        <v>41</v>
      </c>
    </row>
    <row r="202" customHeight="1" spans="2:5">
      <c r="B202" s="658">
        <v>3.1</v>
      </c>
      <c r="C202" s="664" t="s">
        <v>48</v>
      </c>
      <c r="D202" s="679"/>
      <c r="E202" s="680">
        <f>D191*D202</f>
        <v>0</v>
      </c>
    </row>
    <row r="203" customHeight="1" spans="2:5">
      <c r="B203" s="658">
        <v>3.2</v>
      </c>
      <c r="C203" s="664" t="s">
        <v>49</v>
      </c>
      <c r="D203" s="679">
        <v>0.57</v>
      </c>
      <c r="E203" s="680">
        <f>D191*D203</f>
        <v>63.9193438641794</v>
      </c>
    </row>
    <row r="204" customHeight="1" spans="2:5">
      <c r="B204" s="658">
        <v>4</v>
      </c>
      <c r="C204" s="664" t="s">
        <v>45</v>
      </c>
      <c r="D204" s="679">
        <v>0.1</v>
      </c>
      <c r="E204" s="680">
        <f>D191*D204</f>
        <v>11.2139199761718</v>
      </c>
    </row>
    <row r="205" customHeight="1" spans="2:5">
      <c r="B205" s="658"/>
      <c r="C205" s="664"/>
      <c r="D205" s="685"/>
      <c r="E205" s="686"/>
    </row>
    <row r="206" customHeight="1" spans="2:5">
      <c r="B206" s="664"/>
      <c r="C206" s="664"/>
      <c r="D206" s="659"/>
      <c r="E206" s="660"/>
    </row>
    <row r="207" customHeight="1" spans="2:5">
      <c r="B207" s="664"/>
      <c r="C207" s="681" t="s">
        <v>61</v>
      </c>
      <c r="D207" s="697">
        <f>D174+D190</f>
        <v>13.2068760325118</v>
      </c>
      <c r="E207" s="698"/>
    </row>
    <row r="208" customHeight="1" spans="2:5">
      <c r="B208" s="664"/>
      <c r="C208" s="681" t="s">
        <v>62</v>
      </c>
      <c r="D208" s="699"/>
      <c r="E208" s="699"/>
    </row>
    <row r="209" customHeight="1" spans="2:5">
      <c r="B209" s="700" t="s">
        <v>63</v>
      </c>
      <c r="C209" s="701"/>
      <c r="D209" s="701"/>
      <c r="E209" s="701"/>
    </row>
    <row r="212" customHeight="1" spans="2:5">
      <c r="B212" s="655" t="s">
        <v>68</v>
      </c>
      <c r="C212" s="655"/>
      <c r="D212" s="655"/>
      <c r="E212" s="655"/>
    </row>
    <row r="213" customHeight="1" spans="2:5">
      <c r="B213" s="656"/>
      <c r="C213" s="656"/>
      <c r="D213" s="657"/>
      <c r="E213" s="657"/>
    </row>
    <row r="214" customHeight="1" spans="2:5">
      <c r="B214" s="658" t="s">
        <v>1</v>
      </c>
      <c r="C214" s="658" t="s">
        <v>16</v>
      </c>
      <c r="D214" s="659" t="s">
        <v>17</v>
      </c>
      <c r="E214" s="660"/>
    </row>
    <row r="215" customHeight="1" spans="2:9">
      <c r="B215" s="658" t="s">
        <v>34</v>
      </c>
      <c r="C215" s="658" t="s">
        <v>35</v>
      </c>
      <c r="D215" s="661">
        <f>E226+E227+E228+E229</f>
        <v>39.6558090350921</v>
      </c>
      <c r="E215" s="662"/>
      <c r="G215" s="663">
        <f>G218+(G216-G217)/(H217-G217)*(H218-G218)</f>
        <v>7.66875891085272</v>
      </c>
      <c r="H215" s="663"/>
      <c r="I215" s="694">
        <f>G215*1.2*0.8</f>
        <v>7.36200855441861</v>
      </c>
    </row>
    <row r="216" customHeight="1" spans="2:9">
      <c r="B216" s="658">
        <v>1</v>
      </c>
      <c r="C216" s="664" t="s">
        <v>36</v>
      </c>
      <c r="D216" s="665">
        <f>D217*D221*D222*D223*(1+D224)</f>
        <v>39.6558090350921</v>
      </c>
      <c r="E216" s="666"/>
      <c r="G216" s="667">
        <f>D218</f>
        <v>1917.18972771318</v>
      </c>
      <c r="H216" s="667"/>
      <c r="I216" s="695"/>
    </row>
    <row r="217" customHeight="1" spans="2:9">
      <c r="B217" s="658">
        <v>1.1</v>
      </c>
      <c r="C217" s="664" t="s">
        <v>37</v>
      </c>
      <c r="D217" s="665">
        <f>D220+(D218-D219)/(E219-D219)*(E220-D220)</f>
        <v>68.6086661506783</v>
      </c>
      <c r="E217" s="666"/>
      <c r="G217" s="668">
        <v>1000</v>
      </c>
      <c r="H217" s="668">
        <v>3000</v>
      </c>
      <c r="I217" s="696"/>
    </row>
    <row r="218" customHeight="1" spans="2:9">
      <c r="B218" s="664"/>
      <c r="C218" s="669" t="s">
        <v>21</v>
      </c>
      <c r="D218" s="670">
        <f>'总（高庄）'!F16</f>
        <v>1917.18972771318</v>
      </c>
      <c r="E218" s="671"/>
      <c r="G218" s="658">
        <v>4</v>
      </c>
      <c r="H218" s="658">
        <v>12</v>
      </c>
      <c r="I218" s="696"/>
    </row>
    <row r="219" customHeight="1" spans="2:5">
      <c r="B219" s="658"/>
      <c r="C219" s="672" t="s">
        <v>22</v>
      </c>
      <c r="D219" s="673">
        <v>1000</v>
      </c>
      <c r="E219" s="673">
        <v>3000</v>
      </c>
    </row>
    <row r="220" customHeight="1" spans="2:5">
      <c r="B220" s="658"/>
      <c r="C220" s="672" t="s">
        <v>23</v>
      </c>
      <c r="D220" s="674">
        <v>38.8</v>
      </c>
      <c r="E220" s="674">
        <v>103.8</v>
      </c>
    </row>
    <row r="221" customHeight="1" spans="2:5">
      <c r="B221" s="658">
        <v>1.2</v>
      </c>
      <c r="C221" s="664" t="s">
        <v>24</v>
      </c>
      <c r="D221" s="675">
        <v>0.8</v>
      </c>
      <c r="E221" s="676"/>
    </row>
    <row r="222" customHeight="1" spans="2:5">
      <c r="B222" s="658">
        <v>1.3</v>
      </c>
      <c r="C222" s="664" t="s">
        <v>25</v>
      </c>
      <c r="D222" s="675">
        <v>0.85</v>
      </c>
      <c r="E222" s="676"/>
    </row>
    <row r="223" customHeight="1" spans="2:5">
      <c r="B223" s="658">
        <v>1.4</v>
      </c>
      <c r="C223" s="664" t="s">
        <v>38</v>
      </c>
      <c r="D223" s="675">
        <v>1</v>
      </c>
      <c r="E223" s="676"/>
    </row>
    <row r="224" customHeight="1" spans="2:5">
      <c r="B224" s="658">
        <v>2</v>
      </c>
      <c r="C224" s="664" t="s">
        <v>27</v>
      </c>
      <c r="D224" s="677">
        <v>-0.15</v>
      </c>
      <c r="E224" s="678"/>
    </row>
    <row r="225" customHeight="1" spans="2:5">
      <c r="B225" s="658">
        <v>3</v>
      </c>
      <c r="C225" s="664" t="s">
        <v>39</v>
      </c>
      <c r="D225" s="679" t="s">
        <v>40</v>
      </c>
      <c r="E225" s="679" t="s">
        <v>41</v>
      </c>
    </row>
    <row r="226" customHeight="1" spans="2:5">
      <c r="B226" s="658">
        <v>3.1</v>
      </c>
      <c r="C226" s="664" t="s">
        <v>42</v>
      </c>
      <c r="D226" s="679">
        <v>0.25</v>
      </c>
      <c r="E226" s="680">
        <f>D216*D226</f>
        <v>9.91395225877302</v>
      </c>
    </row>
    <row r="227" customHeight="1" spans="2:5">
      <c r="B227" s="658">
        <v>3.2</v>
      </c>
      <c r="C227" s="664" t="s">
        <v>43</v>
      </c>
      <c r="D227" s="679">
        <v>0.2</v>
      </c>
      <c r="E227" s="680">
        <f>D216*D227</f>
        <v>7.93116180701842</v>
      </c>
    </row>
    <row r="228" customHeight="1" spans="2:5">
      <c r="B228" s="658">
        <v>3.3</v>
      </c>
      <c r="C228" s="664" t="s">
        <v>44</v>
      </c>
      <c r="D228" s="679">
        <v>0.55</v>
      </c>
      <c r="E228" s="680">
        <f>D216*D228</f>
        <v>21.8106949693006</v>
      </c>
    </row>
    <row r="229" customHeight="1" spans="2:5">
      <c r="B229" s="658">
        <v>4</v>
      </c>
      <c r="C229" s="664" t="s">
        <v>45</v>
      </c>
      <c r="D229" s="679"/>
      <c r="E229" s="680">
        <f>D216*D229</f>
        <v>0</v>
      </c>
    </row>
    <row r="230" customHeight="1" spans="2:8">
      <c r="B230" s="658"/>
      <c r="C230" s="664"/>
      <c r="D230" s="679"/>
      <c r="E230" s="679"/>
      <c r="H230">
        <f>D239+I215</f>
        <v>47.0178175895107</v>
      </c>
    </row>
    <row r="231" customHeight="1" spans="2:5">
      <c r="B231" s="681" t="s">
        <v>46</v>
      </c>
      <c r="C231" s="681" t="s">
        <v>47</v>
      </c>
      <c r="D231" s="661"/>
      <c r="E231" s="662"/>
    </row>
    <row r="232" customHeight="1" spans="2:5">
      <c r="B232" s="658">
        <v>3</v>
      </c>
      <c r="C232" s="664" t="s">
        <v>39</v>
      </c>
      <c r="D232" s="679" t="s">
        <v>40</v>
      </c>
      <c r="E232" s="679" t="s">
        <v>41</v>
      </c>
    </row>
    <row r="233" customHeight="1" spans="2:5">
      <c r="B233" s="658">
        <v>3.1</v>
      </c>
      <c r="C233" s="664" t="s">
        <v>48</v>
      </c>
      <c r="D233" s="679"/>
      <c r="E233" s="680">
        <f t="shared" ref="E233:E235" si="4">D233*E273</f>
        <v>0</v>
      </c>
    </row>
    <row r="234" customHeight="1" spans="2:5">
      <c r="B234" s="658">
        <v>3.2</v>
      </c>
      <c r="C234" s="664" t="s">
        <v>49</v>
      </c>
      <c r="D234" s="679">
        <v>0.4</v>
      </c>
      <c r="E234" s="680">
        <f t="shared" si="4"/>
        <v>32.3624916595407</v>
      </c>
    </row>
    <row r="235" customHeight="1" spans="2:5">
      <c r="B235" s="658">
        <v>4</v>
      </c>
      <c r="C235" s="664" t="s">
        <v>45</v>
      </c>
      <c r="D235" s="679">
        <v>0.1</v>
      </c>
      <c r="E235" s="680">
        <f t="shared" si="4"/>
        <v>1.41940752892722</v>
      </c>
    </row>
    <row r="236" customHeight="1" spans="2:5">
      <c r="B236" s="658">
        <v>2</v>
      </c>
      <c r="C236" s="664" t="s">
        <v>40</v>
      </c>
      <c r="D236" s="682">
        <v>0.4</v>
      </c>
      <c r="E236" s="683"/>
    </row>
    <row r="237" customHeight="1" spans="2:5">
      <c r="B237" s="658"/>
      <c r="C237" s="664"/>
      <c r="D237" s="685"/>
      <c r="E237" s="686"/>
    </row>
    <row r="238" customHeight="1" spans="2:5">
      <c r="B238" s="664"/>
      <c r="C238" s="664"/>
      <c r="D238" s="659"/>
      <c r="E238" s="660"/>
    </row>
    <row r="239" customHeight="1" spans="2:5">
      <c r="B239" s="664"/>
      <c r="C239" s="681" t="s">
        <v>50</v>
      </c>
      <c r="D239" s="687">
        <f>D215+D231</f>
        <v>39.6558090350921</v>
      </c>
      <c r="E239" s="688"/>
    </row>
    <row r="240" customHeight="1" spans="2:5">
      <c r="B240" s="664"/>
      <c r="C240" s="681" t="s">
        <v>51</v>
      </c>
      <c r="D240" s="689"/>
      <c r="E240" s="689"/>
    </row>
    <row r="241" customHeight="1" spans="2:5">
      <c r="B241" s="690" t="s">
        <v>52</v>
      </c>
      <c r="C241" s="691"/>
      <c r="D241" s="691"/>
      <c r="E241" s="691"/>
    </row>
    <row r="242" ht="25" customHeight="1" spans="2:5">
      <c r="B242" s="655" t="s">
        <v>69</v>
      </c>
      <c r="C242" s="655"/>
      <c r="D242" s="655"/>
      <c r="E242" s="655"/>
    </row>
    <row r="243" customHeight="1" spans="2:5">
      <c r="B243" s="656"/>
      <c r="C243" s="656"/>
      <c r="D243" s="657"/>
      <c r="E243" s="657"/>
    </row>
    <row r="244" customHeight="1" spans="2:5">
      <c r="B244" s="658" t="s">
        <v>1</v>
      </c>
      <c r="C244" s="658" t="s">
        <v>16</v>
      </c>
      <c r="D244" s="659" t="s">
        <v>17</v>
      </c>
      <c r="E244" s="660"/>
    </row>
    <row r="245" customHeight="1" spans="2:5">
      <c r="B245" s="681" t="s">
        <v>34</v>
      </c>
      <c r="C245" s="681" t="s">
        <v>54</v>
      </c>
      <c r="D245" s="661">
        <f>E256+E257+E258+E259</f>
        <v>39.6558090350921</v>
      </c>
      <c r="E245" s="662"/>
    </row>
    <row r="246" customHeight="1" spans="2:5">
      <c r="B246" s="658">
        <v>1</v>
      </c>
      <c r="C246" s="664" t="s">
        <v>55</v>
      </c>
      <c r="D246" s="665">
        <f>D247*D251*D252*D253*(1+D254)</f>
        <v>39.6558090350921</v>
      </c>
      <c r="E246" s="666"/>
    </row>
    <row r="247" customHeight="1" spans="2:5">
      <c r="B247" s="658">
        <v>1.1</v>
      </c>
      <c r="C247" s="664" t="s">
        <v>56</v>
      </c>
      <c r="D247" s="665">
        <f>D250+(D248-D249)/(E249-D249)*(E250-D250)</f>
        <v>68.6086661506783</v>
      </c>
      <c r="E247" s="666"/>
    </row>
    <row r="248" customHeight="1" spans="2:5">
      <c r="B248" s="664"/>
      <c r="C248" s="669" t="s">
        <v>21</v>
      </c>
      <c r="D248" s="670">
        <f t="shared" ref="D248:D250" si="5">D218</f>
        <v>1917.18972771318</v>
      </c>
      <c r="E248" s="671"/>
    </row>
    <row r="249" customHeight="1" spans="2:5">
      <c r="B249" s="658"/>
      <c r="C249" s="672" t="s">
        <v>22</v>
      </c>
      <c r="D249" s="673">
        <f t="shared" si="5"/>
        <v>1000</v>
      </c>
      <c r="E249" s="673">
        <f>E219</f>
        <v>3000</v>
      </c>
    </row>
    <row r="250" customHeight="1" spans="2:5">
      <c r="B250" s="658"/>
      <c r="C250" s="672" t="s">
        <v>23</v>
      </c>
      <c r="D250" s="674">
        <f t="shared" si="5"/>
        <v>38.8</v>
      </c>
      <c r="E250" s="674">
        <f>E220</f>
        <v>103.8</v>
      </c>
    </row>
    <row r="251" customHeight="1" spans="2:5">
      <c r="B251" s="658">
        <v>1.2</v>
      </c>
      <c r="C251" s="664" t="s">
        <v>24</v>
      </c>
      <c r="D251" s="675">
        <v>0.8</v>
      </c>
      <c r="E251" s="676"/>
    </row>
    <row r="252" customHeight="1" spans="2:5">
      <c r="B252" s="658">
        <v>1.3</v>
      </c>
      <c r="C252" s="664" t="s">
        <v>25</v>
      </c>
      <c r="D252" s="675">
        <v>0.85</v>
      </c>
      <c r="E252" s="676"/>
    </row>
    <row r="253" customHeight="1" spans="2:5">
      <c r="B253" s="658">
        <v>1.4</v>
      </c>
      <c r="C253" s="664" t="s">
        <v>38</v>
      </c>
      <c r="D253" s="675">
        <v>1</v>
      </c>
      <c r="E253" s="676"/>
    </row>
    <row r="254" customHeight="1" spans="2:5">
      <c r="B254" s="658">
        <v>2</v>
      </c>
      <c r="C254" s="664" t="s">
        <v>27</v>
      </c>
      <c r="D254" s="677">
        <v>-0.15</v>
      </c>
      <c r="E254" s="678"/>
    </row>
    <row r="255" customHeight="1" spans="2:5">
      <c r="B255" s="658">
        <v>3</v>
      </c>
      <c r="C255" s="664" t="s">
        <v>39</v>
      </c>
      <c r="D255" s="679" t="s">
        <v>40</v>
      </c>
      <c r="E255" s="679" t="s">
        <v>41</v>
      </c>
    </row>
    <row r="256" customHeight="1" spans="2:5">
      <c r="B256" s="658">
        <v>3.1</v>
      </c>
      <c r="C256" s="664" t="s">
        <v>42</v>
      </c>
      <c r="D256" s="692">
        <v>0.73</v>
      </c>
      <c r="E256" s="680">
        <f>D246*D256</f>
        <v>28.9487405956172</v>
      </c>
    </row>
    <row r="257" customHeight="1" spans="2:5">
      <c r="B257" s="658">
        <v>3.2</v>
      </c>
      <c r="C257" s="664" t="s">
        <v>43</v>
      </c>
      <c r="D257" s="692">
        <v>0.03</v>
      </c>
      <c r="E257" s="680">
        <f>D246*D257</f>
        <v>1.18967427105276</v>
      </c>
    </row>
    <row r="258" customHeight="1" spans="2:5">
      <c r="B258" s="658">
        <v>3.3</v>
      </c>
      <c r="C258" s="664" t="s">
        <v>44</v>
      </c>
      <c r="D258" s="692">
        <v>0.24</v>
      </c>
      <c r="E258" s="680">
        <f>D246*D258</f>
        <v>9.5173941684221</v>
      </c>
    </row>
    <row r="259" customHeight="1" spans="2:5">
      <c r="B259" s="658">
        <v>4</v>
      </c>
      <c r="C259" s="664" t="s">
        <v>45</v>
      </c>
      <c r="D259" s="679"/>
      <c r="E259" s="680">
        <f>D246*D259</f>
        <v>0</v>
      </c>
    </row>
    <row r="260" customHeight="1" spans="2:5">
      <c r="B260" s="658"/>
      <c r="C260" s="664"/>
      <c r="D260" s="679"/>
      <c r="E260" s="679"/>
    </row>
    <row r="261" customHeight="1" spans="2:5">
      <c r="B261" s="681" t="s">
        <v>46</v>
      </c>
      <c r="C261" s="681" t="s">
        <v>57</v>
      </c>
      <c r="D261" s="661"/>
      <c r="E261" s="693"/>
    </row>
    <row r="262" customHeight="1" spans="2:5">
      <c r="B262" s="658">
        <v>1</v>
      </c>
      <c r="C262" s="664" t="s">
        <v>55</v>
      </c>
      <c r="D262" s="665">
        <f>D263*D267*D268*D269*D270*(1+D271)</f>
        <v>141.940752892722</v>
      </c>
      <c r="E262" s="666"/>
    </row>
    <row r="263" customHeight="1" spans="2:5">
      <c r="B263" s="658">
        <v>1.1</v>
      </c>
      <c r="C263" s="664" t="s">
        <v>56</v>
      </c>
      <c r="D263" s="665">
        <f>D266+(D264-D265)/(E265-D265)*(E266-D266)</f>
        <v>231.92933479203</v>
      </c>
      <c r="E263" s="666"/>
    </row>
    <row r="264" customHeight="1" spans="2:5">
      <c r="B264" s="658"/>
      <c r="C264" s="664"/>
      <c r="D264" s="665">
        <f>D248</f>
        <v>1917.18972771318</v>
      </c>
      <c r="E264" s="666"/>
    </row>
    <row r="265" customHeight="1" spans="2:5">
      <c r="B265" s="658"/>
      <c r="C265" s="672" t="s">
        <v>22</v>
      </c>
      <c r="D265" s="673">
        <f>D249</f>
        <v>1000</v>
      </c>
      <c r="E265" s="673">
        <f>E249</f>
        <v>3000</v>
      </c>
    </row>
    <row r="266" customHeight="1" spans="2:5">
      <c r="B266" s="658"/>
      <c r="C266" s="672" t="s">
        <v>23</v>
      </c>
      <c r="D266" s="674">
        <v>168.07</v>
      </c>
      <c r="E266" s="674">
        <v>307.32</v>
      </c>
    </row>
    <row r="267" customHeight="1" spans="2:5">
      <c r="B267" s="658">
        <v>1.2</v>
      </c>
      <c r="C267" s="664" t="s">
        <v>58</v>
      </c>
      <c r="D267" s="665">
        <v>0.8</v>
      </c>
      <c r="E267" s="666"/>
    </row>
    <row r="268" customHeight="1" spans="2:5">
      <c r="B268" s="658">
        <v>1.3</v>
      </c>
      <c r="C268" s="664" t="s">
        <v>25</v>
      </c>
      <c r="D268" s="665">
        <v>0.85</v>
      </c>
      <c r="E268" s="666"/>
    </row>
    <row r="269" customHeight="1" spans="2:5">
      <c r="B269" s="658">
        <v>1.4</v>
      </c>
      <c r="C269" s="664" t="s">
        <v>38</v>
      </c>
      <c r="D269" s="665">
        <v>0.9</v>
      </c>
      <c r="E269" s="666"/>
    </row>
    <row r="270" customHeight="1" spans="2:5">
      <c r="B270" s="658">
        <v>1.5</v>
      </c>
      <c r="C270" s="664" t="s">
        <v>59</v>
      </c>
      <c r="D270" s="665">
        <v>1</v>
      </c>
      <c r="E270" s="666"/>
    </row>
    <row r="271" customHeight="1" spans="2:5">
      <c r="B271" s="658">
        <v>2</v>
      </c>
      <c r="C271" s="664" t="s">
        <v>60</v>
      </c>
      <c r="D271" s="685"/>
      <c r="E271" s="686"/>
    </row>
    <row r="272" customHeight="1" spans="2:5">
      <c r="B272" s="658">
        <v>3</v>
      </c>
      <c r="C272" s="664" t="s">
        <v>39</v>
      </c>
      <c r="D272" s="679" t="s">
        <v>40</v>
      </c>
      <c r="E272" s="679" t="s">
        <v>41</v>
      </c>
    </row>
    <row r="273" customHeight="1" spans="2:5">
      <c r="B273" s="658">
        <v>3.1</v>
      </c>
      <c r="C273" s="664" t="s">
        <v>48</v>
      </c>
      <c r="D273" s="679"/>
      <c r="E273" s="680">
        <f>D262*D273</f>
        <v>0</v>
      </c>
    </row>
    <row r="274" customHeight="1" spans="2:5">
      <c r="B274" s="658">
        <v>3.2</v>
      </c>
      <c r="C274" s="664" t="s">
        <v>49</v>
      </c>
      <c r="D274" s="679">
        <v>0.57</v>
      </c>
      <c r="E274" s="680">
        <f>D262*D274</f>
        <v>80.9062291488518</v>
      </c>
    </row>
    <row r="275" customHeight="1" spans="2:5">
      <c r="B275" s="658">
        <v>4</v>
      </c>
      <c r="C275" s="664" t="s">
        <v>45</v>
      </c>
      <c r="D275" s="679">
        <v>0.1</v>
      </c>
      <c r="E275" s="680">
        <f>D262*D275</f>
        <v>14.1940752892722</v>
      </c>
    </row>
    <row r="276" customHeight="1" spans="2:5">
      <c r="B276" s="658"/>
      <c r="C276" s="664"/>
      <c r="D276" s="685"/>
      <c r="E276" s="686"/>
    </row>
    <row r="277" customHeight="1" spans="2:5">
      <c r="B277" s="664"/>
      <c r="C277" s="664"/>
      <c r="D277" s="659"/>
      <c r="E277" s="660"/>
    </row>
    <row r="278" customHeight="1" spans="2:5">
      <c r="B278" s="664"/>
      <c r="C278" s="681" t="s">
        <v>61</v>
      </c>
      <c r="D278" s="697">
        <f>D245+D261</f>
        <v>39.6558090350921</v>
      </c>
      <c r="E278" s="698"/>
    </row>
    <row r="279" customHeight="1" spans="2:5">
      <c r="B279" s="664"/>
      <c r="C279" s="681" t="s">
        <v>62</v>
      </c>
      <c r="D279" s="699"/>
      <c r="E279" s="699"/>
    </row>
    <row r="280" customHeight="1" spans="2:5">
      <c r="B280" s="700" t="s">
        <v>63</v>
      </c>
      <c r="C280" s="701"/>
      <c r="D280" s="701"/>
      <c r="E280" s="701"/>
    </row>
  </sheetData>
  <sheetProtection formatCells="0" insertHyperlinks="0" autoFilter="0"/>
  <mergeCells count="160">
    <mergeCell ref="B1:E1"/>
    <mergeCell ref="D3:E3"/>
    <mergeCell ref="D4:E4"/>
    <mergeCell ref="G4:H4"/>
    <mergeCell ref="D5:E5"/>
    <mergeCell ref="G5:H5"/>
    <mergeCell ref="D6:E6"/>
    <mergeCell ref="D7:E7"/>
    <mergeCell ref="D10:E10"/>
    <mergeCell ref="D11:E11"/>
    <mergeCell ref="D12:E12"/>
    <mergeCell ref="D13:E13"/>
    <mergeCell ref="D20:E20"/>
    <mergeCell ref="D25:E25"/>
    <mergeCell ref="D26:E26"/>
    <mergeCell ref="D27:E27"/>
    <mergeCell ref="D28:E28"/>
    <mergeCell ref="B30:E30"/>
    <mergeCell ref="B31:E31"/>
    <mergeCell ref="D33:E33"/>
    <mergeCell ref="D34:E34"/>
    <mergeCell ref="D35:E35"/>
    <mergeCell ref="D36:E36"/>
    <mergeCell ref="D37:E37"/>
    <mergeCell ref="D40:E40"/>
    <mergeCell ref="D41:E41"/>
    <mergeCell ref="D42:E42"/>
    <mergeCell ref="D43:E43"/>
    <mergeCell ref="D50:E50"/>
    <mergeCell ref="D51:E51"/>
    <mergeCell ref="D52:E52"/>
    <mergeCell ref="D53:E53"/>
    <mergeCell ref="D56:E56"/>
    <mergeCell ref="D57:E57"/>
    <mergeCell ref="D58:E58"/>
    <mergeCell ref="D59:E59"/>
    <mergeCell ref="D60:E60"/>
    <mergeCell ref="D66:E66"/>
    <mergeCell ref="D67:E67"/>
    <mergeCell ref="B69:E69"/>
    <mergeCell ref="B71:E71"/>
    <mergeCell ref="D73:E73"/>
    <mergeCell ref="D74:E74"/>
    <mergeCell ref="G74:H74"/>
    <mergeCell ref="D75:E75"/>
    <mergeCell ref="G75:H75"/>
    <mergeCell ref="D76:E76"/>
    <mergeCell ref="D77:E77"/>
    <mergeCell ref="D80:E80"/>
    <mergeCell ref="D81:E81"/>
    <mergeCell ref="D82:E82"/>
    <mergeCell ref="D83:E83"/>
    <mergeCell ref="D90:E90"/>
    <mergeCell ref="D95:E95"/>
    <mergeCell ref="D96:E96"/>
    <mergeCell ref="D97:E97"/>
    <mergeCell ref="D98:E98"/>
    <mergeCell ref="B100:E100"/>
    <mergeCell ref="B101:E101"/>
    <mergeCell ref="D103:E103"/>
    <mergeCell ref="D104:E104"/>
    <mergeCell ref="D105:E105"/>
    <mergeCell ref="D106:E106"/>
    <mergeCell ref="D107:E107"/>
    <mergeCell ref="D110:E110"/>
    <mergeCell ref="D111:E111"/>
    <mergeCell ref="D112:E112"/>
    <mergeCell ref="D113:E113"/>
    <mergeCell ref="D120:E120"/>
    <mergeCell ref="D121:E121"/>
    <mergeCell ref="D122:E122"/>
    <mergeCell ref="D123:E123"/>
    <mergeCell ref="D126:E126"/>
    <mergeCell ref="D127:E127"/>
    <mergeCell ref="D128:E128"/>
    <mergeCell ref="D129:E129"/>
    <mergeCell ref="D130:E130"/>
    <mergeCell ref="D136:E136"/>
    <mergeCell ref="D137:E137"/>
    <mergeCell ref="B139:E139"/>
    <mergeCell ref="B141:E141"/>
    <mergeCell ref="D143:E143"/>
    <mergeCell ref="D144:E144"/>
    <mergeCell ref="G144:H144"/>
    <mergeCell ref="D145:E145"/>
    <mergeCell ref="G145:H145"/>
    <mergeCell ref="D146:E146"/>
    <mergeCell ref="D147:E147"/>
    <mergeCell ref="D150:E150"/>
    <mergeCell ref="D151:E151"/>
    <mergeCell ref="D152:E152"/>
    <mergeCell ref="D153:E153"/>
    <mergeCell ref="D160:E160"/>
    <mergeCell ref="D165:E165"/>
    <mergeCell ref="D166:E166"/>
    <mergeCell ref="D167:E167"/>
    <mergeCell ref="D168:E168"/>
    <mergeCell ref="B170:E170"/>
    <mergeCell ref="B171:E171"/>
    <mergeCell ref="D173:E173"/>
    <mergeCell ref="D174:E174"/>
    <mergeCell ref="D175:E175"/>
    <mergeCell ref="D176:E176"/>
    <mergeCell ref="D177:E177"/>
    <mergeCell ref="D180:E180"/>
    <mergeCell ref="D181:E181"/>
    <mergeCell ref="D182:E182"/>
    <mergeCell ref="D183:E183"/>
    <mergeCell ref="D190:E190"/>
    <mergeCell ref="D191:E191"/>
    <mergeCell ref="D192:E192"/>
    <mergeCell ref="D193:E193"/>
    <mergeCell ref="D196:E196"/>
    <mergeCell ref="D197:E197"/>
    <mergeCell ref="D198:E198"/>
    <mergeCell ref="D199:E199"/>
    <mergeCell ref="D200:E200"/>
    <mergeCell ref="D206:E206"/>
    <mergeCell ref="D207:E207"/>
    <mergeCell ref="B209:E209"/>
    <mergeCell ref="B212:E212"/>
    <mergeCell ref="D214:E214"/>
    <mergeCell ref="D215:E215"/>
    <mergeCell ref="G215:H215"/>
    <mergeCell ref="D216:E216"/>
    <mergeCell ref="G216:H216"/>
    <mergeCell ref="D217:E217"/>
    <mergeCell ref="D218:E218"/>
    <mergeCell ref="D221:E221"/>
    <mergeCell ref="D222:E222"/>
    <mergeCell ref="D223:E223"/>
    <mergeCell ref="D224:E224"/>
    <mergeCell ref="D231:E231"/>
    <mergeCell ref="D236:E236"/>
    <mergeCell ref="D237:E237"/>
    <mergeCell ref="D238:E238"/>
    <mergeCell ref="D239:E239"/>
    <mergeCell ref="B241:E241"/>
    <mergeCell ref="B242:E242"/>
    <mergeCell ref="D244:E244"/>
    <mergeCell ref="D245:E245"/>
    <mergeCell ref="D246:E246"/>
    <mergeCell ref="D247:E247"/>
    <mergeCell ref="D248:E248"/>
    <mergeCell ref="D251:E251"/>
    <mergeCell ref="D252:E252"/>
    <mergeCell ref="D253:E253"/>
    <mergeCell ref="D254:E254"/>
    <mergeCell ref="D261:E261"/>
    <mergeCell ref="D262:E262"/>
    <mergeCell ref="D263:E263"/>
    <mergeCell ref="D264:E264"/>
    <mergeCell ref="D267:E267"/>
    <mergeCell ref="D268:E268"/>
    <mergeCell ref="D269:E269"/>
    <mergeCell ref="D270:E270"/>
    <mergeCell ref="D271:E271"/>
    <mergeCell ref="D277:E277"/>
    <mergeCell ref="D278:E278"/>
    <mergeCell ref="B280:E280"/>
  </mergeCells>
  <pageMargins left="0.75" right="0.75" top="1" bottom="1" header="0.5" footer="0.5"/>
  <pageSetup paperSize="9" orientation="portrait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tabColor rgb="FFFF0000"/>
  </sheetPr>
  <dimension ref="A1:I26"/>
  <sheetViews>
    <sheetView workbookViewId="0">
      <selection activeCell="L197" sqref="L197"/>
    </sheetView>
  </sheetViews>
  <sheetFormatPr defaultColWidth="9" defaultRowHeight="14.25"/>
  <cols>
    <col min="2" max="2" width="25.625" customWidth="1"/>
    <col min="3" max="3" width="11.75" customWidth="1"/>
    <col min="4" max="4" width="12" customWidth="1"/>
    <col min="5" max="5" width="11.5" customWidth="1"/>
    <col min="6" max="6" width="10.5" customWidth="1"/>
    <col min="9" max="9" width="13.75"/>
  </cols>
  <sheetData>
    <row r="1" ht="20.1" customHeight="1" spans="1:6">
      <c r="A1" s="225" t="s">
        <v>70</v>
      </c>
      <c r="B1" s="225"/>
      <c r="C1" s="225"/>
      <c r="D1" s="225"/>
      <c r="E1" s="225"/>
      <c r="F1" s="225"/>
    </row>
    <row r="2" ht="20.1" customHeight="1" spans="1:6">
      <c r="A2" s="645"/>
      <c r="B2" s="645"/>
      <c r="C2" s="645"/>
      <c r="D2" s="645"/>
      <c r="E2" s="645"/>
      <c r="F2" s="228" t="s">
        <v>71</v>
      </c>
    </row>
    <row r="3" ht="27" customHeight="1" spans="1:6">
      <c r="A3" s="514" t="s">
        <v>1</v>
      </c>
      <c r="B3" s="514" t="s">
        <v>72</v>
      </c>
      <c r="C3" s="468" t="s">
        <v>73</v>
      </c>
      <c r="D3" s="468" t="s">
        <v>74</v>
      </c>
      <c r="E3" s="468" t="s">
        <v>75</v>
      </c>
      <c r="F3" s="5" t="s">
        <v>76</v>
      </c>
    </row>
    <row r="4" ht="20.1" customHeight="1" spans="1:6">
      <c r="A4" s="396" t="s">
        <v>77</v>
      </c>
      <c r="B4" s="396"/>
      <c r="C4" s="646">
        <f>C5</f>
        <v>3724.49</v>
      </c>
      <c r="D4" s="516">
        <f>D5</f>
        <v>2928.24275038753</v>
      </c>
      <c r="E4" s="69">
        <f t="shared" ref="E4:E12" si="0">D4-C4</f>
        <v>-796.247249612473</v>
      </c>
      <c r="F4" s="53">
        <f t="shared" ref="F4:F10" si="1">(D4-C4)/C4</f>
        <v>-0.213786921058312</v>
      </c>
    </row>
    <row r="5" ht="20.1" customHeight="1" spans="1:6">
      <c r="A5" s="504" t="s">
        <v>34</v>
      </c>
      <c r="B5" s="647" t="s">
        <v>78</v>
      </c>
      <c r="C5" s="646">
        <f>SUM(C6:C9)</f>
        <v>3724.49</v>
      </c>
      <c r="D5" s="646">
        <f>SUM(D6:D9)</f>
        <v>2928.24275038753</v>
      </c>
      <c r="E5" s="69">
        <f t="shared" si="0"/>
        <v>-796.247249612473</v>
      </c>
      <c r="F5" s="53">
        <f t="shared" si="1"/>
        <v>-0.213786921058312</v>
      </c>
    </row>
    <row r="6" ht="20.1" customHeight="1" spans="1:6">
      <c r="A6" s="510">
        <v>1</v>
      </c>
      <c r="B6" s="511" t="str">
        <f>建筑概算核!B7</f>
        <v>生态护岸工程</v>
      </c>
      <c r="C6" s="648">
        <v>1297.25</v>
      </c>
      <c r="D6" s="649">
        <f>总概算核!J5</f>
        <v>1428.49520186145</v>
      </c>
      <c r="E6" s="69">
        <f t="shared" si="0"/>
        <v>131.245201861455</v>
      </c>
      <c r="F6" s="53">
        <f t="shared" si="1"/>
        <v>0.101171864992449</v>
      </c>
    </row>
    <row r="7" ht="20.1" customHeight="1" spans="1:6">
      <c r="A7" s="510">
        <v>2</v>
      </c>
      <c r="B7" s="511" t="str">
        <f>建筑概算核!B103</f>
        <v>污染底泥清除</v>
      </c>
      <c r="C7" s="648">
        <v>575.1</v>
      </c>
      <c r="D7" s="649">
        <f>总概算核!J6</f>
        <v>307.4796566765</v>
      </c>
      <c r="E7" s="69">
        <f t="shared" si="0"/>
        <v>-267.6203433235</v>
      </c>
      <c r="F7" s="53">
        <f t="shared" si="1"/>
        <v>-0.465345754344461</v>
      </c>
    </row>
    <row r="8" ht="20.1" customHeight="1" spans="1:6">
      <c r="A8" s="510">
        <v>3</v>
      </c>
      <c r="B8" s="511" t="str">
        <f>建筑概算核!B105</f>
        <v>生态沟渠工程</v>
      </c>
      <c r="C8" s="648">
        <v>1100.57</v>
      </c>
      <c r="D8" s="649">
        <f>总概算核!J7</f>
        <v>681.641273243802</v>
      </c>
      <c r="E8" s="69">
        <f t="shared" si="0"/>
        <v>-418.928726756198</v>
      </c>
      <c r="F8" s="53">
        <f t="shared" si="1"/>
        <v>-0.380647052669251</v>
      </c>
    </row>
    <row r="9" ht="20.1" customHeight="1" spans="1:6">
      <c r="A9" s="510">
        <v>4</v>
      </c>
      <c r="B9" s="511" t="s">
        <v>79</v>
      </c>
      <c r="C9" s="648">
        <v>751.57</v>
      </c>
      <c r="D9" s="649">
        <f>总概算核!J8</f>
        <v>510.626618605775</v>
      </c>
      <c r="E9" s="69">
        <f t="shared" si="0"/>
        <v>-240.943381394225</v>
      </c>
      <c r="F9" s="53">
        <f t="shared" si="1"/>
        <v>-0.320586746935382</v>
      </c>
    </row>
    <row r="10" ht="20.1" customHeight="1" spans="1:6">
      <c r="A10" s="5" t="s">
        <v>80</v>
      </c>
      <c r="B10" s="5"/>
      <c r="C10" s="646">
        <f>1129.6*0.5</f>
        <v>564.8</v>
      </c>
      <c r="D10" s="514">
        <f>D11+D12+D13</f>
        <v>75.8872470364752</v>
      </c>
      <c r="E10" s="69">
        <f t="shared" si="0"/>
        <v>-488.912752963525</v>
      </c>
      <c r="F10" s="53">
        <f t="shared" si="1"/>
        <v>-0.865638726918422</v>
      </c>
    </row>
    <row r="11" ht="20.1" customHeight="1" spans="1:6">
      <c r="A11" s="398" t="s">
        <v>34</v>
      </c>
      <c r="B11" s="11" t="s">
        <v>81</v>
      </c>
      <c r="C11" s="648"/>
      <c r="D11" s="515">
        <f>总概算核!J10</f>
        <v>30.03272229</v>
      </c>
      <c r="E11" s="69">
        <f t="shared" si="0"/>
        <v>30.03272229</v>
      </c>
      <c r="F11" s="53"/>
    </row>
    <row r="12" ht="20.1" customHeight="1" spans="1:6">
      <c r="A12" s="398" t="s">
        <v>46</v>
      </c>
      <c r="B12" s="11" t="s">
        <v>82</v>
      </c>
      <c r="C12" s="648"/>
      <c r="D12" s="515">
        <f>总概算核!J11</f>
        <v>25.4154087464752</v>
      </c>
      <c r="E12" s="69">
        <f t="shared" si="0"/>
        <v>25.4154087464752</v>
      </c>
      <c r="F12" s="53"/>
    </row>
    <row r="13" ht="20.1" customHeight="1" spans="1:6">
      <c r="A13" s="398" t="s">
        <v>83</v>
      </c>
      <c r="B13" s="11" t="s">
        <v>84</v>
      </c>
      <c r="C13" s="648"/>
      <c r="D13" s="515">
        <f>总概算核!J12</f>
        <v>20.439116</v>
      </c>
      <c r="E13" s="69">
        <f t="shared" ref="E13:E22" si="2">D13-C13</f>
        <v>20.439116</v>
      </c>
      <c r="F13" s="53"/>
    </row>
    <row r="14" ht="20.1" customHeight="1" spans="1:6">
      <c r="A14" s="5" t="s">
        <v>85</v>
      </c>
      <c r="B14" s="5"/>
      <c r="C14" s="646">
        <v>0</v>
      </c>
      <c r="D14" s="514">
        <f>总概算核!J13</f>
        <v>2.484</v>
      </c>
      <c r="E14" s="69">
        <f t="shared" si="2"/>
        <v>2.484</v>
      </c>
      <c r="F14" s="53"/>
    </row>
    <row r="15" ht="20.1" customHeight="1" spans="1:6">
      <c r="A15" s="5" t="s">
        <v>86</v>
      </c>
      <c r="B15" s="5"/>
      <c r="C15" s="646">
        <f>C4+C10+C14</f>
        <v>4289.29</v>
      </c>
      <c r="D15" s="516">
        <f>D4+D10+D14</f>
        <v>3006.61399742401</v>
      </c>
      <c r="E15" s="69">
        <f t="shared" si="2"/>
        <v>-1282.67600257599</v>
      </c>
      <c r="F15" s="53">
        <f t="shared" ref="F15:F22" si="3">(D15-C15)/C15</f>
        <v>-0.299041566920398</v>
      </c>
    </row>
    <row r="16" ht="20.1" customHeight="1" spans="1:6">
      <c r="A16" s="5" t="s">
        <v>87</v>
      </c>
      <c r="B16" s="5"/>
      <c r="C16" s="34">
        <f>373.32*0.3</f>
        <v>111.996</v>
      </c>
      <c r="D16" s="38">
        <f>总概算核!J15</f>
        <v>124.233479875206</v>
      </c>
      <c r="E16" s="69">
        <f t="shared" si="2"/>
        <v>12.2374798752055</v>
      </c>
      <c r="F16" s="53">
        <f t="shared" si="3"/>
        <v>0.109267115568462</v>
      </c>
    </row>
    <row r="17" ht="20.1" customHeight="1" spans="1:6">
      <c r="A17" s="5" t="s">
        <v>88</v>
      </c>
      <c r="B17" s="5"/>
      <c r="C17" s="34">
        <f>C15+C16</f>
        <v>4401.286</v>
      </c>
      <c r="D17" s="38">
        <f>D15+D16</f>
        <v>3130.84747729921</v>
      </c>
      <c r="E17" s="69">
        <f t="shared" si="2"/>
        <v>-1270.43852270079</v>
      </c>
      <c r="F17" s="53">
        <f t="shared" si="3"/>
        <v>-0.288651662877802</v>
      </c>
    </row>
    <row r="18" ht="20.1" customHeight="1" spans="1:6">
      <c r="A18" s="5" t="s">
        <v>89</v>
      </c>
      <c r="B18" s="5"/>
      <c r="C18" s="34">
        <f>1286.04*0.3</f>
        <v>385.812</v>
      </c>
      <c r="D18" s="38">
        <f>总概算核!J17</f>
        <v>401.924619699211</v>
      </c>
      <c r="E18" s="69">
        <f t="shared" si="2"/>
        <v>16.1126196992111</v>
      </c>
      <c r="F18" s="53">
        <f t="shared" si="3"/>
        <v>0.0417628785502033</v>
      </c>
    </row>
    <row r="19" ht="20.1" customHeight="1" spans="1:6">
      <c r="A19" s="5" t="s">
        <v>90</v>
      </c>
      <c r="B19" s="5"/>
      <c r="C19" s="276">
        <f>C17+C18</f>
        <v>4787.098</v>
      </c>
      <c r="D19" s="527">
        <f>D17+D18</f>
        <v>3532.77209699842</v>
      </c>
      <c r="E19" s="69">
        <f t="shared" si="2"/>
        <v>-1254.32590300158</v>
      </c>
      <c r="F19" s="53">
        <f t="shared" si="3"/>
        <v>-0.262022190270928</v>
      </c>
    </row>
    <row r="20" ht="20.1" customHeight="1" spans="1:6">
      <c r="A20" s="5"/>
      <c r="B20" s="11" t="s">
        <v>91</v>
      </c>
      <c r="C20" s="69">
        <f>1212.39*0.3</f>
        <v>363.717</v>
      </c>
      <c r="D20" s="38">
        <f>总概算核!J25</f>
        <v>105.983162909953</v>
      </c>
      <c r="E20" s="69">
        <f t="shared" si="2"/>
        <v>-257.733837090047</v>
      </c>
      <c r="F20" s="53">
        <f t="shared" si="3"/>
        <v>-0.708610917526669</v>
      </c>
    </row>
    <row r="21" ht="20.1" customHeight="1" spans="1:6">
      <c r="A21" s="517" t="s">
        <v>92</v>
      </c>
      <c r="B21" s="391" t="s">
        <v>93</v>
      </c>
      <c r="C21" s="650">
        <f>C19+C20</f>
        <v>5150.815</v>
      </c>
      <c r="D21" s="650">
        <f>D19+D20</f>
        <v>3638.75525990837</v>
      </c>
      <c r="E21" s="69">
        <f t="shared" si="2"/>
        <v>-1512.05974009162</v>
      </c>
      <c r="F21" s="53">
        <f t="shared" si="3"/>
        <v>-0.293557376860094</v>
      </c>
    </row>
    <row r="22" ht="20.1" customHeight="1" spans="1:6">
      <c r="A22" s="519" t="s">
        <v>94</v>
      </c>
      <c r="B22" s="520" t="s">
        <v>95</v>
      </c>
      <c r="C22" s="651">
        <f>29.44*0.3</f>
        <v>8.832</v>
      </c>
      <c r="D22" s="298">
        <f>总概算核!J27</f>
        <v>56.525</v>
      </c>
      <c r="E22" s="69">
        <f t="shared" si="2"/>
        <v>47.693</v>
      </c>
      <c r="F22" s="53">
        <f t="shared" si="3"/>
        <v>5.40002264492754</v>
      </c>
    </row>
    <row r="23" ht="20.1" customHeight="1" spans="1:6">
      <c r="A23" s="519" t="s">
        <v>96</v>
      </c>
      <c r="B23" s="520" t="s">
        <v>97</v>
      </c>
      <c r="C23" s="651"/>
      <c r="D23" s="298">
        <f>总概算核!J50</f>
        <v>51.18</v>
      </c>
      <c r="E23" s="69"/>
      <c r="F23" s="53"/>
    </row>
    <row r="24" ht="20.1" customHeight="1" spans="1:6">
      <c r="A24" s="519" t="s">
        <v>98</v>
      </c>
      <c r="B24" s="522" t="s">
        <v>99</v>
      </c>
      <c r="C24" s="651">
        <f>39.15*0.3</f>
        <v>11.745</v>
      </c>
      <c r="D24" s="298">
        <f>总概算核!J34</f>
        <v>34.57</v>
      </c>
      <c r="E24" s="69">
        <f>D24-C24</f>
        <v>22.825</v>
      </c>
      <c r="F24" s="53">
        <f>(D24-C24)/C24</f>
        <v>1.94338016177097</v>
      </c>
    </row>
    <row r="25" ht="20.1" customHeight="1" spans="1:6">
      <c r="A25" s="5" t="s">
        <v>100</v>
      </c>
      <c r="B25" s="522" t="s">
        <v>101</v>
      </c>
      <c r="C25" s="651">
        <f>72.29*0.3</f>
        <v>21.687</v>
      </c>
      <c r="D25" s="298">
        <f>总概算核!J43</f>
        <v>36.69</v>
      </c>
      <c r="E25" s="69">
        <f>D25-C25</f>
        <v>15.003</v>
      </c>
      <c r="F25" s="53">
        <f>(D25-C25)/C25</f>
        <v>0.691796929035828</v>
      </c>
    </row>
    <row r="26" ht="20.1" customHeight="1" spans="1:9">
      <c r="A26" s="5"/>
      <c r="B26" s="391" t="s">
        <v>102</v>
      </c>
      <c r="C26" s="652">
        <f>SUM(C21:C25)</f>
        <v>5193.079</v>
      </c>
      <c r="D26" s="652">
        <f>SUM(D21:D25)</f>
        <v>3817.72025990837</v>
      </c>
      <c r="E26" s="69">
        <f>D26-C26</f>
        <v>-1375.35874009162</v>
      </c>
      <c r="F26" s="53">
        <f>(D26-C26)/C26</f>
        <v>-0.264844563329698</v>
      </c>
      <c r="I26">
        <f>E26+[1]可研初设对比表!$E$25</f>
        <v>-3720.66855704398</v>
      </c>
    </row>
  </sheetData>
  <sheetProtection formatCells="0" insertHyperlinks="0" autoFilter="0"/>
  <mergeCells count="9">
    <mergeCell ref="A1:F1"/>
    <mergeCell ref="A4:B4"/>
    <mergeCell ref="A10:B10"/>
    <mergeCell ref="A14:B14"/>
    <mergeCell ref="A15:B15"/>
    <mergeCell ref="A16:B16"/>
    <mergeCell ref="A17:B17"/>
    <mergeCell ref="A18:B18"/>
    <mergeCell ref="A19:B19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H17"/>
  <sheetViews>
    <sheetView workbookViewId="0">
      <selection activeCell="L197" sqref="L197"/>
    </sheetView>
  </sheetViews>
  <sheetFormatPr defaultColWidth="9" defaultRowHeight="14.25" outlineLevelCol="7"/>
  <cols>
    <col min="1" max="1" width="6.125" customWidth="1"/>
    <col min="2" max="2" width="32.5" customWidth="1"/>
    <col min="3" max="4" width="10.375"/>
    <col min="8" max="8" width="10.75" customWidth="1"/>
  </cols>
  <sheetData>
    <row r="1" ht="20.1" customHeight="1" spans="1:8">
      <c r="A1" s="626" t="s">
        <v>103</v>
      </c>
      <c r="B1" s="626"/>
      <c r="C1" s="627"/>
      <c r="D1" s="627"/>
      <c r="E1" s="627"/>
      <c r="F1" s="627"/>
      <c r="G1" s="627"/>
      <c r="H1" s="627"/>
    </row>
    <row r="2" ht="20.1" customHeight="1" spans="1:8">
      <c r="A2" s="628"/>
      <c r="B2" s="628"/>
      <c r="C2" s="629"/>
      <c r="D2" s="629"/>
      <c r="E2" s="629"/>
      <c r="F2" s="629"/>
      <c r="G2" s="629"/>
      <c r="H2" s="630" t="s">
        <v>71</v>
      </c>
    </row>
    <row r="3" ht="20.1" customHeight="1" spans="1:8">
      <c r="A3" s="631" t="s">
        <v>104</v>
      </c>
      <c r="B3" s="631" t="s">
        <v>72</v>
      </c>
      <c r="C3" s="632" t="s">
        <v>93</v>
      </c>
      <c r="D3" s="633" t="s">
        <v>95</v>
      </c>
      <c r="E3" s="632" t="s">
        <v>99</v>
      </c>
      <c r="F3" s="633" t="s">
        <v>101</v>
      </c>
      <c r="G3" s="633" t="s">
        <v>105</v>
      </c>
      <c r="H3" s="634" t="s">
        <v>106</v>
      </c>
    </row>
    <row r="4" ht="20.1" customHeight="1" spans="1:8">
      <c r="A4" s="631"/>
      <c r="B4" s="631"/>
      <c r="C4" s="632"/>
      <c r="D4" s="635"/>
      <c r="E4" s="632"/>
      <c r="F4" s="635"/>
      <c r="G4" s="635"/>
      <c r="H4" s="636"/>
    </row>
    <row r="5" ht="20.1" customHeight="1" spans="1:8">
      <c r="A5" s="637"/>
      <c r="B5" s="637" t="s">
        <v>77</v>
      </c>
      <c r="C5" s="638">
        <f>总概算核!J4</f>
        <v>2928.24275038753</v>
      </c>
      <c r="D5" s="638"/>
      <c r="E5" s="638"/>
      <c r="F5" s="639"/>
      <c r="G5" s="639"/>
      <c r="H5" s="639">
        <f t="shared" ref="H5:H17" si="0">SUM(C5:G5)</f>
        <v>2928.24275038753</v>
      </c>
    </row>
    <row r="6" ht="20.1" customHeight="1" spans="1:8">
      <c r="A6" s="637"/>
      <c r="B6" s="637" t="s">
        <v>107</v>
      </c>
      <c r="C6" s="638">
        <f>总概算核!J9</f>
        <v>75.8872470364752</v>
      </c>
      <c r="D6" s="638"/>
      <c r="E6" s="638"/>
      <c r="F6" s="639"/>
      <c r="G6" s="639"/>
      <c r="H6" s="639">
        <f t="shared" si="0"/>
        <v>75.8872470364752</v>
      </c>
    </row>
    <row r="7" ht="20.1" customHeight="1" spans="1:8">
      <c r="A7" s="637"/>
      <c r="B7" s="637" t="s">
        <v>108</v>
      </c>
      <c r="C7" s="638">
        <f>总概算核!J13</f>
        <v>2.484</v>
      </c>
      <c r="D7" s="638"/>
      <c r="E7" s="638"/>
      <c r="F7" s="638"/>
      <c r="G7" s="638"/>
      <c r="H7" s="639">
        <f t="shared" si="0"/>
        <v>2.484</v>
      </c>
    </row>
    <row r="8" ht="20.1" customHeight="1" spans="1:8">
      <c r="A8" s="637" t="s">
        <v>109</v>
      </c>
      <c r="B8" s="640"/>
      <c r="C8" s="638">
        <f>C5+C6+C7</f>
        <v>3006.61399742401</v>
      </c>
      <c r="D8" s="638">
        <f>总概算核!J28</f>
        <v>23.13</v>
      </c>
      <c r="E8" s="638">
        <f>总概算核!J35+总概算核!J36</f>
        <v>17.95</v>
      </c>
      <c r="F8" s="638">
        <f>总概算核!J45</f>
        <v>0.8</v>
      </c>
      <c r="G8" s="638">
        <f>总概算核!J52</f>
        <v>44.06</v>
      </c>
      <c r="H8" s="639">
        <f t="shared" si="0"/>
        <v>3092.55399742401</v>
      </c>
    </row>
    <row r="9" ht="20.1" customHeight="1" spans="1:8">
      <c r="A9" s="641"/>
      <c r="B9" s="641" t="s">
        <v>87</v>
      </c>
      <c r="C9" s="639">
        <f>总概算核!J15</f>
        <v>124.233479875206</v>
      </c>
      <c r="D9" s="639"/>
      <c r="E9" s="639">
        <f>总概算核!J37</f>
        <v>4.28</v>
      </c>
      <c r="F9" s="639">
        <f>总概算核!J46</f>
        <v>24.7</v>
      </c>
      <c r="G9" s="639"/>
      <c r="H9" s="639">
        <f t="shared" si="0"/>
        <v>153.213479875205</v>
      </c>
    </row>
    <row r="10" ht="20.1" customHeight="1" spans="1:8">
      <c r="A10" s="637" t="s">
        <v>110</v>
      </c>
      <c r="B10" s="640"/>
      <c r="C10" s="639">
        <f>C8+C9</f>
        <v>3130.84747729921</v>
      </c>
      <c r="D10" s="639">
        <f>D8+D9</f>
        <v>23.13</v>
      </c>
      <c r="E10" s="639">
        <f>E8+E9</f>
        <v>22.23</v>
      </c>
      <c r="F10" s="639">
        <f>F8+F9</f>
        <v>25.5</v>
      </c>
      <c r="G10" s="639">
        <f>G8+G9</f>
        <v>44.06</v>
      </c>
      <c r="H10" s="639">
        <f t="shared" si="0"/>
        <v>3245.76747729921</v>
      </c>
    </row>
    <row r="11" ht="20.1" customHeight="1" spans="1:8">
      <c r="A11" s="641"/>
      <c r="B11" s="641" t="s">
        <v>89</v>
      </c>
      <c r="C11" s="639">
        <f>总概算核!J17</f>
        <v>401.924619699211</v>
      </c>
      <c r="D11" s="639">
        <f>总概算核!J30+总概算核!J33</f>
        <v>30.825</v>
      </c>
      <c r="E11" s="639">
        <f>总概算核!J38</f>
        <v>11.33</v>
      </c>
      <c r="F11" s="639">
        <f>总概算核!J47</f>
        <v>9.44</v>
      </c>
      <c r="G11" s="639">
        <f>总概算核!J54</f>
        <v>6.12</v>
      </c>
      <c r="H11" s="639">
        <f t="shared" si="0"/>
        <v>459.639619699211</v>
      </c>
    </row>
    <row r="12" ht="20.1" customHeight="1" spans="1:8">
      <c r="A12" s="642"/>
      <c r="B12" s="642" t="s">
        <v>111</v>
      </c>
      <c r="C12" s="643">
        <f>C13+C14</f>
        <v>136.345270247113</v>
      </c>
      <c r="D12" s="643"/>
      <c r="E12" s="643">
        <f t="shared" ref="E12:G12" si="1">E14</f>
        <v>5.89</v>
      </c>
      <c r="F12" s="643">
        <f t="shared" si="1"/>
        <v>5.77</v>
      </c>
      <c r="G12" s="643">
        <f>G13+G14</f>
        <v>4.49</v>
      </c>
      <c r="H12" s="643">
        <f t="shared" si="0"/>
        <v>152.495270247113</v>
      </c>
    </row>
    <row r="13" ht="20.1" customHeight="1" spans="1:8">
      <c r="A13" s="642"/>
      <c r="B13" s="642" t="s">
        <v>112</v>
      </c>
      <c r="C13" s="643">
        <f>设计费!D67</f>
        <v>62.2690767484623</v>
      </c>
      <c r="D13" s="643"/>
      <c r="E13" s="643"/>
      <c r="F13" s="643"/>
      <c r="G13" s="643">
        <v>0.94</v>
      </c>
      <c r="H13" s="643">
        <f t="shared" si="0"/>
        <v>63.2090767484623</v>
      </c>
    </row>
    <row r="14" ht="20.1" customHeight="1" spans="1:8">
      <c r="A14" s="642"/>
      <c r="B14" s="642" t="s">
        <v>113</v>
      </c>
      <c r="C14" s="643">
        <f>设计费!D28+设计费!I4</f>
        <v>74.0761934986503</v>
      </c>
      <c r="D14" s="643">
        <f>总概算核!J31</f>
        <v>0.69</v>
      </c>
      <c r="E14" s="643">
        <f>总概算核!J39+总概算核!J40</f>
        <v>5.89</v>
      </c>
      <c r="F14" s="643">
        <f>总概算核!J48</f>
        <v>5.77</v>
      </c>
      <c r="G14" s="643">
        <f>3.55</f>
        <v>3.55</v>
      </c>
      <c r="H14" s="643">
        <f t="shared" si="0"/>
        <v>89.9761934986502</v>
      </c>
    </row>
    <row r="15" ht="20.1" customHeight="1" spans="1:8">
      <c r="A15" s="637" t="s">
        <v>114</v>
      </c>
      <c r="B15" s="640"/>
      <c r="C15" s="639">
        <f>C10+C11</f>
        <v>3532.77209699842</v>
      </c>
      <c r="D15" s="639">
        <f>D10+D11</f>
        <v>53.955</v>
      </c>
      <c r="E15" s="639">
        <f>E10+E11</f>
        <v>33.56</v>
      </c>
      <c r="F15" s="639">
        <f>F10+F11</f>
        <v>34.94</v>
      </c>
      <c r="G15" s="639">
        <f>G10+G11</f>
        <v>50.18</v>
      </c>
      <c r="H15" s="639">
        <f t="shared" si="0"/>
        <v>3705.40709699842</v>
      </c>
    </row>
    <row r="16" ht="20.1" customHeight="1" spans="1:8">
      <c r="A16" s="642"/>
      <c r="B16" s="642" t="s">
        <v>91</v>
      </c>
      <c r="C16" s="643">
        <f>总概算核!J25</f>
        <v>105.983162909953</v>
      </c>
      <c r="D16" s="643">
        <f>总概算核!J32</f>
        <v>2.57</v>
      </c>
      <c r="E16" s="643">
        <f>总概算核!J41</f>
        <v>1.01</v>
      </c>
      <c r="F16" s="643">
        <f>总概算核!J49</f>
        <v>1.75</v>
      </c>
      <c r="G16" s="643">
        <f>总概算核!J56</f>
        <v>1</v>
      </c>
      <c r="H16" s="639">
        <f t="shared" si="0"/>
        <v>112.313162909953</v>
      </c>
    </row>
    <row r="17" ht="20.1" customHeight="1" spans="1:8">
      <c r="A17" s="642"/>
      <c r="B17" s="644" t="s">
        <v>115</v>
      </c>
      <c r="C17" s="639">
        <f>C15+C16</f>
        <v>3638.75525990837</v>
      </c>
      <c r="D17" s="639">
        <f>D15+D16</f>
        <v>56.525</v>
      </c>
      <c r="E17" s="639">
        <f>E15+E16</f>
        <v>34.57</v>
      </c>
      <c r="F17" s="639">
        <f>F15+F16</f>
        <v>36.69</v>
      </c>
      <c r="G17" s="639">
        <f>G15+G16</f>
        <v>51.18</v>
      </c>
      <c r="H17" s="639">
        <f t="shared" si="0"/>
        <v>3817.72025990837</v>
      </c>
    </row>
  </sheetData>
  <sheetProtection formatCells="0" insertHyperlinks="0" autoFilter="0"/>
  <mergeCells count="13">
    <mergeCell ref="A1:H1"/>
    <mergeCell ref="A2:F2"/>
    <mergeCell ref="A8:B8"/>
    <mergeCell ref="A10:B10"/>
    <mergeCell ref="A15:B15"/>
    <mergeCell ref="A3:A4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tabColor rgb="FF7030A0"/>
  </sheetPr>
  <dimension ref="A1:P60"/>
  <sheetViews>
    <sheetView workbookViewId="0">
      <pane ySplit="3" topLeftCell="A34" activePane="bottomLeft" state="frozen"/>
      <selection/>
      <selection pane="bottomLeft" activeCell="L197" sqref="L197"/>
    </sheetView>
  </sheetViews>
  <sheetFormatPr defaultColWidth="9" defaultRowHeight="14.25"/>
  <cols>
    <col min="1" max="1" width="6" style="223" customWidth="1"/>
    <col min="2" max="2" width="30.25" style="223" customWidth="1"/>
    <col min="3" max="3" width="10.5" style="223" hidden="1" customWidth="1"/>
    <col min="4" max="4" width="8.25" style="223" hidden="1" customWidth="1"/>
    <col min="5" max="5" width="9" style="223" hidden="1" customWidth="1"/>
    <col min="6" max="6" width="10.375" style="223" hidden="1" customWidth="1"/>
    <col min="7" max="7" width="10.375" style="223" customWidth="1"/>
    <col min="8" max="8" width="8.875" style="223" customWidth="1"/>
    <col min="9" max="9" width="8.625" style="223" customWidth="1"/>
    <col min="10" max="10" width="10.625" style="223" customWidth="1"/>
    <col min="11" max="11" width="19.375" style="223" customWidth="1"/>
    <col min="12" max="12" width="14.125" style="223"/>
    <col min="13" max="14" width="12.625" style="223"/>
    <col min="15" max="15" width="9" style="223"/>
    <col min="16" max="16" width="12.625" style="223"/>
    <col min="17" max="16384" width="9" style="223"/>
  </cols>
  <sheetData>
    <row r="1" ht="23.25" customHeight="1" spans="1:10">
      <c r="A1" s="501" t="s">
        <v>116</v>
      </c>
      <c r="B1" s="501"/>
      <c r="C1" s="501"/>
      <c r="D1" s="501"/>
      <c r="E1" s="501"/>
      <c r="F1" s="501"/>
      <c r="G1" s="501"/>
      <c r="H1" s="501"/>
      <c r="I1" s="501"/>
      <c r="J1" s="501"/>
    </row>
    <row r="2" ht="20.1" customHeight="1" spans="1:10">
      <c r="A2" s="502"/>
      <c r="B2" s="502"/>
      <c r="C2" s="502"/>
      <c r="D2" s="502"/>
      <c r="E2" s="502"/>
      <c r="F2" s="502"/>
      <c r="G2" s="502"/>
      <c r="H2" s="502"/>
      <c r="I2" s="502"/>
      <c r="J2" s="503" t="s">
        <v>71</v>
      </c>
    </row>
    <row r="3" ht="32.25" customHeight="1" spans="1:10">
      <c r="A3" s="504" t="s">
        <v>1</v>
      </c>
      <c r="B3" s="504" t="s">
        <v>72</v>
      </c>
      <c r="C3" s="620" t="s">
        <v>117</v>
      </c>
      <c r="D3" s="620" t="s">
        <v>118</v>
      </c>
      <c r="E3" s="620" t="s">
        <v>119</v>
      </c>
      <c r="F3" s="620" t="s">
        <v>106</v>
      </c>
      <c r="G3" s="504" t="s">
        <v>117</v>
      </c>
      <c r="H3" s="504" t="s">
        <v>118</v>
      </c>
      <c r="I3" s="504" t="s">
        <v>119</v>
      </c>
      <c r="J3" s="504" t="s">
        <v>106</v>
      </c>
    </row>
    <row r="4" ht="18" customHeight="1" spans="1:10">
      <c r="A4" s="505" t="s">
        <v>120</v>
      </c>
      <c r="B4" s="505"/>
      <c r="C4" s="620">
        <v>3125.26101633932</v>
      </c>
      <c r="D4" s="620"/>
      <c r="E4" s="620"/>
      <c r="F4" s="620">
        <v>3125.26101633932</v>
      </c>
      <c r="G4" s="506">
        <f>SUM(G5:G8)</f>
        <v>2928.24275038753</v>
      </c>
      <c r="H4" s="507"/>
      <c r="I4" s="508"/>
      <c r="J4" s="509">
        <f>SUM(G4:I4)</f>
        <v>2928.24275038753</v>
      </c>
    </row>
    <row r="5" ht="18" customHeight="1" spans="1:10">
      <c r="A5" s="510" t="s">
        <v>34</v>
      </c>
      <c r="B5" s="511" t="str">
        <f>建筑概算核!B7</f>
        <v>生态护岸工程</v>
      </c>
      <c r="C5" s="621">
        <v>1446.27332197121</v>
      </c>
      <c r="D5" s="621"/>
      <c r="E5" s="621"/>
      <c r="F5" s="621">
        <v>1446.27332197121</v>
      </c>
      <c r="G5" s="512">
        <f>建筑概算核!I7/10000</f>
        <v>1428.49520186145</v>
      </c>
      <c r="H5" s="513"/>
      <c r="I5" s="72"/>
      <c r="J5" s="71">
        <f>SUM(G5:I5)</f>
        <v>1428.49520186145</v>
      </c>
    </row>
    <row r="6" ht="18" customHeight="1" spans="1:10">
      <c r="A6" s="510" t="s">
        <v>46</v>
      </c>
      <c r="B6" s="511" t="str">
        <f>建筑概算核!B103</f>
        <v>污染底泥清除</v>
      </c>
      <c r="C6" s="621">
        <v>317.568848786813</v>
      </c>
      <c r="D6" s="621"/>
      <c r="E6" s="621"/>
      <c r="F6" s="621">
        <v>317.568848786813</v>
      </c>
      <c r="G6" s="512">
        <f>建筑概算核!I103/10000</f>
        <v>307.4796566765</v>
      </c>
      <c r="H6" s="513"/>
      <c r="I6" s="72"/>
      <c r="J6" s="71">
        <f>SUM(G6:I6)</f>
        <v>307.4796566765</v>
      </c>
    </row>
    <row r="7" s="64" customFormat="1" ht="18" customHeight="1" spans="1:10">
      <c r="A7" s="510" t="s">
        <v>83</v>
      </c>
      <c r="B7" s="511" t="str">
        <f>建筑概算核!B105</f>
        <v>生态沟渠工程</v>
      </c>
      <c r="C7" s="621">
        <v>703.185993276143</v>
      </c>
      <c r="D7" s="621"/>
      <c r="E7" s="621"/>
      <c r="F7" s="621">
        <v>703.185993276143</v>
      </c>
      <c r="G7" s="512">
        <f>建筑概算核!I105/10000</f>
        <v>681.641273243802</v>
      </c>
      <c r="H7" s="513"/>
      <c r="I7" s="72"/>
      <c r="J7" s="71">
        <f>SUM(G7:I7)</f>
        <v>681.641273243802</v>
      </c>
    </row>
    <row r="8" s="64" customFormat="1" ht="18" customHeight="1" spans="1:12">
      <c r="A8" s="510" t="s">
        <v>121</v>
      </c>
      <c r="B8" s="511" t="s">
        <v>79</v>
      </c>
      <c r="C8" s="621">
        <v>658.232852305149</v>
      </c>
      <c r="D8" s="621"/>
      <c r="E8" s="621"/>
      <c r="F8" s="621">
        <v>658.232852305149</v>
      </c>
      <c r="G8" s="512">
        <f>建筑概算核!I122/10000</f>
        <v>510.626618605775</v>
      </c>
      <c r="H8" s="513"/>
      <c r="I8" s="72"/>
      <c r="J8" s="71">
        <f>G8</f>
        <v>510.626618605775</v>
      </c>
      <c r="L8" s="64">
        <f>F8-J8</f>
        <v>147.606233699374</v>
      </c>
    </row>
    <row r="9" ht="18" customHeight="1" spans="1:10">
      <c r="A9" s="5" t="s">
        <v>122</v>
      </c>
      <c r="B9" s="5"/>
      <c r="C9" s="622">
        <v>7.723479248</v>
      </c>
      <c r="D9" s="622">
        <v>76.2807798584752</v>
      </c>
      <c r="E9" s="622"/>
      <c r="F9" s="622">
        <v>84.0042591064752</v>
      </c>
      <c r="G9" s="514">
        <f>SUM(G10:G12)</f>
        <v>7.049003248</v>
      </c>
      <c r="H9" s="514">
        <f>SUM(H10:H12)</f>
        <v>68.8382437884752</v>
      </c>
      <c r="I9" s="514"/>
      <c r="J9" s="509">
        <f>G9+H9</f>
        <v>75.8872470364752</v>
      </c>
    </row>
    <row r="10" ht="18" customHeight="1" spans="1:10">
      <c r="A10" s="7" t="s">
        <v>34</v>
      </c>
      <c r="B10" s="11" t="str">
        <f>安装概算核!B6</f>
        <v>水机设备及安装工程</v>
      </c>
      <c r="C10" s="529">
        <v>2.4898</v>
      </c>
      <c r="D10" s="529">
        <v>27.02129422</v>
      </c>
      <c r="E10" s="529"/>
      <c r="F10" s="529">
        <v>29.51109422</v>
      </c>
      <c r="G10" s="515">
        <f>安装概算核!H6/10000</f>
        <v>2.5341</v>
      </c>
      <c r="H10" s="515">
        <f>安装概算核!I6/10000</f>
        <v>27.49862229</v>
      </c>
      <c r="I10" s="515"/>
      <c r="J10" s="71">
        <f>G10+H10</f>
        <v>30.03272229</v>
      </c>
    </row>
    <row r="11" ht="18" customHeight="1" spans="1:10">
      <c r="A11" s="7" t="s">
        <v>46</v>
      </c>
      <c r="B11" s="11" t="str">
        <f>安装概算核!B64</f>
        <v>电气设备及安装工程</v>
      </c>
      <c r="C11" s="529">
        <v>2.139587248</v>
      </c>
      <c r="D11" s="529">
        <v>23.3770856384752</v>
      </c>
      <c r="E11" s="529"/>
      <c r="F11" s="529">
        <v>25.5166728864752</v>
      </c>
      <c r="G11" s="515">
        <f>安装概算核!H64/10000</f>
        <v>2.130987248</v>
      </c>
      <c r="H11" s="515">
        <f>安装概算核!I64/10000</f>
        <v>23.2844214984752</v>
      </c>
      <c r="I11" s="515"/>
      <c r="J11" s="71">
        <f>G11+H11</f>
        <v>25.4154087464752</v>
      </c>
    </row>
    <row r="12" ht="18" customHeight="1" spans="1:10">
      <c r="A12" s="7" t="s">
        <v>83</v>
      </c>
      <c r="B12" s="11" t="str">
        <f>安装概算核!B126</f>
        <v>自动化工程</v>
      </c>
      <c r="C12" s="529">
        <v>3.094092</v>
      </c>
      <c r="D12" s="529">
        <v>25.8824</v>
      </c>
      <c r="E12" s="529"/>
      <c r="F12" s="529">
        <v>28.976492</v>
      </c>
      <c r="G12" s="515">
        <f>安装概算核!H126/10000</f>
        <v>2.383916</v>
      </c>
      <c r="H12" s="515">
        <f>安装概算核!I126/10000</f>
        <v>18.0552</v>
      </c>
      <c r="I12" s="515"/>
      <c r="J12" s="71">
        <f>G12+H12</f>
        <v>20.439116</v>
      </c>
    </row>
    <row r="13" ht="18" customHeight="1" spans="1:10">
      <c r="A13" s="5" t="s">
        <v>85</v>
      </c>
      <c r="B13" s="5"/>
      <c r="C13" s="622">
        <v>9.3306</v>
      </c>
      <c r="D13" s="622">
        <v>7.296</v>
      </c>
      <c r="E13" s="622"/>
      <c r="F13" s="622">
        <v>16.6266</v>
      </c>
      <c r="G13" s="514">
        <f>安装概算核!H191/10000</f>
        <v>2.484</v>
      </c>
      <c r="H13" s="514"/>
      <c r="I13" s="514"/>
      <c r="J13" s="509">
        <f>G13+H13</f>
        <v>2.484</v>
      </c>
    </row>
    <row r="14" s="220" customFormat="1" ht="18" customHeight="1" spans="1:10">
      <c r="A14" s="5" t="s">
        <v>86</v>
      </c>
      <c r="B14" s="5"/>
      <c r="C14" s="622">
        <v>3142.31509558732</v>
      </c>
      <c r="D14" s="622">
        <v>83.5767798584752</v>
      </c>
      <c r="E14" s="622"/>
      <c r="F14" s="622">
        <v>3225.89187544579</v>
      </c>
      <c r="G14" s="514">
        <f>G4+G9+G13</f>
        <v>2937.77575363553</v>
      </c>
      <c r="H14" s="514">
        <f>H4+H9+H13</f>
        <v>68.8382437884752</v>
      </c>
      <c r="I14" s="516"/>
      <c r="J14" s="509">
        <f>SUM(G14:I14)</f>
        <v>3006.61399742401</v>
      </c>
    </row>
    <row r="15" s="220" customFormat="1" ht="18" customHeight="1" spans="1:12">
      <c r="A15" s="5" t="s">
        <v>87</v>
      </c>
      <c r="B15" s="5"/>
      <c r="C15" s="622">
        <v>140.011718228864</v>
      </c>
      <c r="D15" s="622"/>
      <c r="E15" s="622"/>
      <c r="F15" s="622">
        <v>140.011718228864</v>
      </c>
      <c r="G15" s="277">
        <f>建筑概算核!I515/10000</f>
        <v>124.233479875206</v>
      </c>
      <c r="H15" s="5"/>
      <c r="I15" s="5"/>
      <c r="J15" s="509">
        <f t="shared" ref="J15:J24" si="0">SUM(G15:I15)</f>
        <v>124.233479875206</v>
      </c>
      <c r="L15" s="220">
        <f>J15/J14</f>
        <v>0.041320063028259</v>
      </c>
    </row>
    <row r="16" ht="18" customHeight="1" spans="1:10">
      <c r="A16" s="5" t="s">
        <v>88</v>
      </c>
      <c r="B16" s="5"/>
      <c r="C16" s="622">
        <v>3282.32681381618</v>
      </c>
      <c r="D16" s="622">
        <v>83.5767798584752</v>
      </c>
      <c r="E16" s="622"/>
      <c r="F16" s="622">
        <v>3365.90359367465</v>
      </c>
      <c r="G16" s="277">
        <f>G14+G15</f>
        <v>3062.00923351074</v>
      </c>
      <c r="H16" s="277">
        <f>H14+H15</f>
        <v>68.8382437884752</v>
      </c>
      <c r="I16" s="5"/>
      <c r="J16" s="509">
        <f t="shared" si="0"/>
        <v>3130.84747729921</v>
      </c>
    </row>
    <row r="17" ht="18" customHeight="1" spans="1:10">
      <c r="A17" s="5" t="s">
        <v>89</v>
      </c>
      <c r="B17" s="5"/>
      <c r="C17" s="622"/>
      <c r="D17" s="622"/>
      <c r="E17" s="622">
        <v>481.096707582826</v>
      </c>
      <c r="F17" s="622">
        <v>481.096707582826</v>
      </c>
      <c r="G17" s="277"/>
      <c r="H17" s="5"/>
      <c r="I17" s="277">
        <f>I18+I19+I20+I21</f>
        <v>401.924619699211</v>
      </c>
      <c r="J17" s="509">
        <f t="shared" si="0"/>
        <v>401.924619699211</v>
      </c>
    </row>
    <row r="18" ht="18" customHeight="1" spans="1:10">
      <c r="A18" s="67" t="s">
        <v>34</v>
      </c>
      <c r="B18" s="11" t="s">
        <v>123</v>
      </c>
      <c r="C18" s="529"/>
      <c r="D18" s="529"/>
      <c r="E18" s="529">
        <v>147.946092111199</v>
      </c>
      <c r="F18" s="529">
        <v>147.946092111199</v>
      </c>
      <c r="G18" s="7"/>
      <c r="H18" s="7"/>
      <c r="I18" s="69">
        <f>建筑概算核!I537</f>
        <v>111.835473311918</v>
      </c>
      <c r="J18" s="71">
        <f t="shared" si="0"/>
        <v>111.835473311918</v>
      </c>
    </row>
    <row r="19" ht="18" customHeight="1" spans="1:16">
      <c r="A19" s="67" t="s">
        <v>46</v>
      </c>
      <c r="B19" s="11" t="s">
        <v>124</v>
      </c>
      <c r="C19" s="529"/>
      <c r="D19" s="529"/>
      <c r="E19" s="529">
        <v>65.7227119195897</v>
      </c>
      <c r="F19" s="529">
        <v>65.7227119195897</v>
      </c>
      <c r="G19" s="7"/>
      <c r="H19" s="7"/>
      <c r="I19" s="69">
        <f>监理费用!E15</f>
        <v>61.8835991348587</v>
      </c>
      <c r="J19" s="71">
        <f t="shared" si="0"/>
        <v>61.8835991348587</v>
      </c>
      <c r="M19" s="223">
        <f>I20/J16</f>
        <v>0.0435489979105367</v>
      </c>
      <c r="N19" s="223">
        <f>设计费!D28+设计费!D67</f>
        <v>124.538153496925</v>
      </c>
      <c r="P19" s="223">
        <f>N19/J16</f>
        <v>0.0397777772312166</v>
      </c>
    </row>
    <row r="20" ht="18" customHeight="1" spans="1:10">
      <c r="A20" s="67" t="s">
        <v>83</v>
      </c>
      <c r="B20" s="11" t="s">
        <v>125</v>
      </c>
      <c r="C20" s="529"/>
      <c r="D20" s="529"/>
      <c r="E20" s="529">
        <v>168.958099137552</v>
      </c>
      <c r="F20" s="529">
        <v>168.958099137552</v>
      </c>
      <c r="G20" s="7"/>
      <c r="H20" s="7"/>
      <c r="I20" s="69">
        <f>设计费!I4+设计费!D28+设计费!D67</f>
        <v>136.345270247113</v>
      </c>
      <c r="J20" s="71">
        <f t="shared" si="0"/>
        <v>136.345270247113</v>
      </c>
    </row>
    <row r="21" ht="18" customHeight="1" spans="1:10">
      <c r="A21" s="67" t="s">
        <v>121</v>
      </c>
      <c r="B21" s="11" t="s">
        <v>126</v>
      </c>
      <c r="C21" s="529"/>
      <c r="D21" s="529"/>
      <c r="E21" s="529">
        <v>98.4698044144854</v>
      </c>
      <c r="F21" s="529">
        <v>98.4698044144854</v>
      </c>
      <c r="G21" s="7"/>
      <c r="H21" s="7"/>
      <c r="I21" s="69">
        <f>SUM(I22:I23)</f>
        <v>91.8602770053221</v>
      </c>
      <c r="J21" s="71">
        <f t="shared" si="0"/>
        <v>91.8602770053221</v>
      </c>
    </row>
    <row r="22" ht="18" customHeight="1" spans="1:10">
      <c r="A22" s="67">
        <v>1</v>
      </c>
      <c r="B22" s="11" t="s">
        <v>127</v>
      </c>
      <c r="C22" s="529"/>
      <c r="D22" s="529"/>
      <c r="E22" s="529">
        <v>82.0581703454045</v>
      </c>
      <c r="F22" s="529">
        <v>82.0581703454045</v>
      </c>
      <c r="G22" s="7"/>
      <c r="H22" s="7"/>
      <c r="I22" s="69">
        <f>建筑概算核!I543</f>
        <v>76.5502308377684</v>
      </c>
      <c r="J22" s="71">
        <f t="shared" si="0"/>
        <v>76.5502308377684</v>
      </c>
    </row>
    <row r="23" ht="18" customHeight="1" spans="1:10">
      <c r="A23" s="67">
        <v>2</v>
      </c>
      <c r="B23" s="11" t="s">
        <v>128</v>
      </c>
      <c r="C23" s="529"/>
      <c r="D23" s="529"/>
      <c r="E23" s="529">
        <v>16.4116340690809</v>
      </c>
      <c r="F23" s="529">
        <v>16.4116340690809</v>
      </c>
      <c r="G23" s="7"/>
      <c r="H23" s="7"/>
      <c r="I23" s="69">
        <f>建筑概算核!I544</f>
        <v>15.3100461675537</v>
      </c>
      <c r="J23" s="71">
        <f t="shared" si="0"/>
        <v>15.3100461675537</v>
      </c>
    </row>
    <row r="24" ht="18" customHeight="1" spans="1:10">
      <c r="A24" s="5" t="s">
        <v>90</v>
      </c>
      <c r="B24" s="5"/>
      <c r="C24" s="622">
        <v>3282.32681381618</v>
      </c>
      <c r="D24" s="622">
        <v>83.5767798584752</v>
      </c>
      <c r="E24" s="622">
        <v>481.096707582826</v>
      </c>
      <c r="F24" s="622">
        <v>3847.00030125748</v>
      </c>
      <c r="G24" s="276">
        <f>G16+G17</f>
        <v>3062.00923351074</v>
      </c>
      <c r="H24" s="276">
        <f>H16+H17</f>
        <v>68.8382437884752</v>
      </c>
      <c r="I24" s="276">
        <f>I16+I17</f>
        <v>401.924619699211</v>
      </c>
      <c r="J24" s="509">
        <f t="shared" si="0"/>
        <v>3532.77209699842</v>
      </c>
    </row>
    <row r="25" ht="18" customHeight="1" spans="1:10">
      <c r="A25" s="517"/>
      <c r="B25" s="391" t="s">
        <v>91</v>
      </c>
      <c r="C25" s="622"/>
      <c r="D25" s="622"/>
      <c r="E25" s="622"/>
      <c r="F25" s="622">
        <v>115.410009037724</v>
      </c>
      <c r="G25" s="276"/>
      <c r="H25" s="518"/>
      <c r="I25" s="276"/>
      <c r="J25" s="276">
        <f>J24*0.03</f>
        <v>105.983162909953</v>
      </c>
    </row>
    <row r="26" ht="18" customHeight="1" spans="1:10">
      <c r="A26" s="517" t="s">
        <v>92</v>
      </c>
      <c r="B26" s="391" t="s">
        <v>129</v>
      </c>
      <c r="C26" s="622"/>
      <c r="D26" s="622"/>
      <c r="E26" s="622"/>
      <c r="F26" s="622">
        <v>3962.4103102952</v>
      </c>
      <c r="G26" s="468"/>
      <c r="H26" s="468"/>
      <c r="I26" s="5"/>
      <c r="J26" s="276">
        <f>J24+J25</f>
        <v>3638.75525990837</v>
      </c>
    </row>
    <row r="27" ht="18" customHeight="1" spans="1:11">
      <c r="A27" s="519" t="s">
        <v>94</v>
      </c>
      <c r="B27" s="520" t="s">
        <v>95</v>
      </c>
      <c r="C27" s="623"/>
      <c r="D27" s="623"/>
      <c r="E27" s="623"/>
      <c r="F27" s="623">
        <v>56.6</v>
      </c>
      <c r="G27" s="519"/>
      <c r="H27" s="519"/>
      <c r="I27" s="519"/>
      <c r="J27" s="276">
        <f>J28+J30+J32+J33</f>
        <v>56.525</v>
      </c>
      <c r="K27" s="625">
        <v>56.53</v>
      </c>
    </row>
    <row r="28" ht="18" customHeight="1" spans="1:11">
      <c r="A28" s="521" t="s">
        <v>34</v>
      </c>
      <c r="B28" s="441" t="s">
        <v>130</v>
      </c>
      <c r="C28" s="623"/>
      <c r="D28" s="623"/>
      <c r="E28" s="623"/>
      <c r="F28" s="623"/>
      <c r="G28" s="519"/>
      <c r="H28" s="519"/>
      <c r="I28" s="519"/>
      <c r="J28" s="34">
        <v>23.13</v>
      </c>
      <c r="K28" s="625"/>
    </row>
    <row r="29" ht="18" customHeight="1" spans="1:11">
      <c r="A29" s="521" t="s">
        <v>46</v>
      </c>
      <c r="B29" s="441" t="s">
        <v>131</v>
      </c>
      <c r="C29" s="623"/>
      <c r="D29" s="623"/>
      <c r="E29" s="623"/>
      <c r="F29" s="623"/>
      <c r="G29" s="519"/>
      <c r="H29" s="519"/>
      <c r="I29" s="519"/>
      <c r="J29" s="34"/>
      <c r="K29" s="625"/>
    </row>
    <row r="30" ht="18" customHeight="1" spans="1:11">
      <c r="A30" s="521" t="s">
        <v>83</v>
      </c>
      <c r="B30" s="441" t="s">
        <v>132</v>
      </c>
      <c r="C30" s="623"/>
      <c r="D30" s="623"/>
      <c r="E30" s="623"/>
      <c r="F30" s="623"/>
      <c r="G30" s="519"/>
      <c r="H30" s="519"/>
      <c r="I30" s="519"/>
      <c r="J30" s="268">
        <v>2.575</v>
      </c>
      <c r="K30" s="625"/>
    </row>
    <row r="31" ht="18" customHeight="1" spans="1:11">
      <c r="A31" s="519"/>
      <c r="B31" s="441" t="s">
        <v>133</v>
      </c>
      <c r="C31" s="623"/>
      <c r="D31" s="623"/>
      <c r="E31" s="623"/>
      <c r="F31" s="623"/>
      <c r="G31" s="519"/>
      <c r="H31" s="519"/>
      <c r="I31" s="519"/>
      <c r="J31" s="34">
        <v>0.69</v>
      </c>
      <c r="K31" s="625"/>
    </row>
    <row r="32" ht="18" customHeight="1" spans="1:11">
      <c r="A32" s="246" t="s">
        <v>121</v>
      </c>
      <c r="B32" s="441" t="s">
        <v>134</v>
      </c>
      <c r="C32" s="623"/>
      <c r="D32" s="623"/>
      <c r="E32" s="623"/>
      <c r="F32" s="623"/>
      <c r="G32" s="519"/>
      <c r="H32" s="519"/>
      <c r="I32" s="519"/>
      <c r="J32" s="34">
        <v>2.57</v>
      </c>
      <c r="K32" s="625"/>
    </row>
    <row r="33" ht="18" customHeight="1" spans="1:11">
      <c r="A33" s="246" t="s">
        <v>135</v>
      </c>
      <c r="B33" s="441" t="s">
        <v>136</v>
      </c>
      <c r="C33" s="623"/>
      <c r="D33" s="623"/>
      <c r="E33" s="623"/>
      <c r="F33" s="623"/>
      <c r="G33" s="519"/>
      <c r="H33" s="519"/>
      <c r="I33" s="519"/>
      <c r="J33" s="34">
        <v>28.25</v>
      </c>
      <c r="K33" s="625"/>
    </row>
    <row r="34" ht="18" customHeight="1" spans="1:11">
      <c r="A34" s="519" t="s">
        <v>96</v>
      </c>
      <c r="B34" s="522" t="s">
        <v>99</v>
      </c>
      <c r="C34" s="624"/>
      <c r="D34" s="624"/>
      <c r="E34" s="624"/>
      <c r="F34" s="624">
        <v>35.38</v>
      </c>
      <c r="G34" s="519"/>
      <c r="H34" s="519"/>
      <c r="I34" s="519"/>
      <c r="J34" s="276">
        <f>J35+J36+J37+J38+J41</f>
        <v>34.57</v>
      </c>
      <c r="K34" s="625">
        <v>34.57</v>
      </c>
    </row>
    <row r="35" ht="18" customHeight="1" spans="1:11">
      <c r="A35" s="519" t="s">
        <v>34</v>
      </c>
      <c r="B35" s="523" t="s">
        <v>137</v>
      </c>
      <c r="C35" s="624"/>
      <c r="D35" s="624"/>
      <c r="E35" s="624"/>
      <c r="F35" s="624"/>
      <c r="G35" s="519"/>
      <c r="H35" s="519"/>
      <c r="I35" s="519"/>
      <c r="J35" s="34">
        <v>10.98</v>
      </c>
      <c r="K35" s="625"/>
    </row>
    <row r="36" ht="18" customHeight="1" spans="1:11">
      <c r="A36" s="519" t="s">
        <v>46</v>
      </c>
      <c r="B36" s="523" t="s">
        <v>138</v>
      </c>
      <c r="C36" s="624"/>
      <c r="D36" s="624"/>
      <c r="E36" s="624"/>
      <c r="F36" s="624"/>
      <c r="G36" s="519"/>
      <c r="H36" s="519"/>
      <c r="I36" s="519"/>
      <c r="J36" s="34">
        <v>6.97</v>
      </c>
      <c r="K36" s="625"/>
    </row>
    <row r="37" ht="18" customHeight="1" spans="1:11">
      <c r="A37" s="519" t="s">
        <v>83</v>
      </c>
      <c r="B37" s="523" t="s">
        <v>139</v>
      </c>
      <c r="C37" s="624"/>
      <c r="D37" s="624"/>
      <c r="E37" s="624"/>
      <c r="F37" s="624"/>
      <c r="G37" s="519"/>
      <c r="H37" s="519"/>
      <c r="I37" s="519"/>
      <c r="J37" s="34">
        <v>4.28</v>
      </c>
      <c r="K37" s="625"/>
    </row>
    <row r="38" ht="18" customHeight="1" spans="1:11">
      <c r="A38" s="246" t="s">
        <v>121</v>
      </c>
      <c r="B38" s="523" t="s">
        <v>140</v>
      </c>
      <c r="C38" s="624"/>
      <c r="D38" s="624"/>
      <c r="E38" s="624"/>
      <c r="F38" s="624"/>
      <c r="G38" s="519"/>
      <c r="H38" s="519"/>
      <c r="I38" s="519"/>
      <c r="J38" s="34">
        <v>11.33</v>
      </c>
      <c r="K38" s="625"/>
    </row>
    <row r="39" ht="18" customHeight="1" spans="1:11">
      <c r="A39" s="519"/>
      <c r="B39" s="461" t="s">
        <v>141</v>
      </c>
      <c r="C39" s="624"/>
      <c r="D39" s="624"/>
      <c r="E39" s="624"/>
      <c r="F39" s="624"/>
      <c r="G39" s="519"/>
      <c r="H39" s="519"/>
      <c r="I39" s="519"/>
      <c r="J39" s="34">
        <v>5</v>
      </c>
      <c r="K39" s="625"/>
    </row>
    <row r="40" ht="18" customHeight="1" spans="1:11">
      <c r="A40" s="519"/>
      <c r="B40" s="461" t="s">
        <v>142</v>
      </c>
      <c r="C40" s="624"/>
      <c r="D40" s="624"/>
      <c r="E40" s="624"/>
      <c r="F40" s="624"/>
      <c r="G40" s="519"/>
      <c r="H40" s="519"/>
      <c r="I40" s="519"/>
      <c r="J40" s="34">
        <v>0.89</v>
      </c>
      <c r="K40" s="625"/>
    </row>
    <row r="41" ht="18" customHeight="1" spans="1:11">
      <c r="A41" s="246" t="s">
        <v>135</v>
      </c>
      <c r="B41" s="523" t="s">
        <v>91</v>
      </c>
      <c r="C41" s="624"/>
      <c r="D41" s="624"/>
      <c r="E41" s="624"/>
      <c r="F41" s="624"/>
      <c r="G41" s="519"/>
      <c r="H41" s="519"/>
      <c r="I41" s="519"/>
      <c r="J41" s="34">
        <v>1.01</v>
      </c>
      <c r="K41" s="625"/>
    </row>
    <row r="42" ht="18" customHeight="1" spans="1:11">
      <c r="A42" s="246" t="s">
        <v>143</v>
      </c>
      <c r="B42" s="441" t="s">
        <v>144</v>
      </c>
      <c r="C42" s="624"/>
      <c r="D42" s="624"/>
      <c r="E42" s="624"/>
      <c r="F42" s="624"/>
      <c r="G42" s="519"/>
      <c r="H42" s="519"/>
      <c r="I42" s="519"/>
      <c r="J42" s="34"/>
      <c r="K42" s="625"/>
    </row>
    <row r="43" ht="18" customHeight="1" spans="1:11">
      <c r="A43" s="519" t="s">
        <v>98</v>
      </c>
      <c r="B43" s="522" t="s">
        <v>101</v>
      </c>
      <c r="C43" s="624"/>
      <c r="D43" s="624"/>
      <c r="E43" s="624"/>
      <c r="F43" s="624">
        <v>37.17</v>
      </c>
      <c r="G43" s="519"/>
      <c r="H43" s="519"/>
      <c r="I43" s="519"/>
      <c r="J43" s="276">
        <f>J45+J46+J47+J49</f>
        <v>36.69</v>
      </c>
      <c r="K43" s="625">
        <v>36.69</v>
      </c>
    </row>
    <row r="44" ht="18" customHeight="1" spans="1:11">
      <c r="A44" s="524" t="s">
        <v>34</v>
      </c>
      <c r="B44" s="525" t="s">
        <v>145</v>
      </c>
      <c r="C44" s="624"/>
      <c r="D44" s="624"/>
      <c r="E44" s="624"/>
      <c r="F44" s="624"/>
      <c r="G44" s="519"/>
      <c r="H44" s="519"/>
      <c r="I44" s="519"/>
      <c r="J44" s="34"/>
      <c r="K44" s="625"/>
    </row>
    <row r="45" ht="18" customHeight="1" spans="1:11">
      <c r="A45" s="524" t="s">
        <v>46</v>
      </c>
      <c r="B45" s="525" t="s">
        <v>146</v>
      </c>
      <c r="C45" s="624"/>
      <c r="D45" s="624"/>
      <c r="E45" s="624"/>
      <c r="F45" s="624"/>
      <c r="G45" s="519"/>
      <c r="H45" s="519"/>
      <c r="I45" s="519"/>
      <c r="J45" s="34">
        <v>0.8</v>
      </c>
      <c r="K45" s="625"/>
    </row>
    <row r="46" ht="18" customHeight="1" spans="1:11">
      <c r="A46" s="524" t="s">
        <v>83</v>
      </c>
      <c r="B46" s="525" t="s">
        <v>147</v>
      </c>
      <c r="C46" s="624"/>
      <c r="D46" s="624"/>
      <c r="E46" s="624"/>
      <c r="F46" s="624"/>
      <c r="G46" s="519"/>
      <c r="H46" s="519"/>
      <c r="I46" s="519"/>
      <c r="J46" s="34">
        <v>24.7</v>
      </c>
      <c r="K46" s="625"/>
    </row>
    <row r="47" ht="18" customHeight="1" spans="1:11">
      <c r="A47" s="524" t="s">
        <v>121</v>
      </c>
      <c r="B47" s="525" t="s">
        <v>148</v>
      </c>
      <c r="C47" s="624"/>
      <c r="D47" s="624"/>
      <c r="E47" s="624"/>
      <c r="F47" s="624"/>
      <c r="G47" s="519"/>
      <c r="H47" s="519"/>
      <c r="I47" s="519"/>
      <c r="J47" s="34">
        <v>9.44</v>
      </c>
      <c r="K47" s="625"/>
    </row>
    <row r="48" ht="18" customHeight="1" spans="1:11">
      <c r="A48" s="524"/>
      <c r="B48" s="525" t="s">
        <v>149</v>
      </c>
      <c r="C48" s="624"/>
      <c r="D48" s="624"/>
      <c r="E48" s="624"/>
      <c r="F48" s="624"/>
      <c r="G48" s="519"/>
      <c r="H48" s="519"/>
      <c r="I48" s="519"/>
      <c r="J48" s="34">
        <v>5.77</v>
      </c>
      <c r="K48" s="625"/>
    </row>
    <row r="49" ht="18" customHeight="1" spans="1:11">
      <c r="A49" s="524" t="s">
        <v>135</v>
      </c>
      <c r="B49" s="525" t="s">
        <v>91</v>
      </c>
      <c r="C49" s="624"/>
      <c r="D49" s="624"/>
      <c r="E49" s="624"/>
      <c r="F49" s="624"/>
      <c r="G49" s="519"/>
      <c r="H49" s="519"/>
      <c r="I49" s="519"/>
      <c r="J49" s="34">
        <v>1.75</v>
      </c>
      <c r="K49" s="625"/>
    </row>
    <row r="50" ht="18" customHeight="1" spans="1:11">
      <c r="A50" s="5" t="s">
        <v>100</v>
      </c>
      <c r="B50" s="520" t="s">
        <v>97</v>
      </c>
      <c r="C50" s="623"/>
      <c r="D50" s="623"/>
      <c r="E50" s="623"/>
      <c r="F50" s="623">
        <v>56.51</v>
      </c>
      <c r="G50" s="519"/>
      <c r="H50" s="519"/>
      <c r="I50" s="519"/>
      <c r="J50" s="276">
        <f>J52+J54+J56</f>
        <v>51.18</v>
      </c>
      <c r="K50" s="625">
        <v>51.18</v>
      </c>
    </row>
    <row r="51" ht="18" customHeight="1" spans="1:11">
      <c r="A51" s="524" t="s">
        <v>34</v>
      </c>
      <c r="B51" s="525" t="s">
        <v>150</v>
      </c>
      <c r="C51" s="623"/>
      <c r="D51" s="623"/>
      <c r="E51" s="623"/>
      <c r="F51" s="623"/>
      <c r="G51" s="519"/>
      <c r="H51" s="519"/>
      <c r="I51" s="519"/>
      <c r="J51" s="34"/>
      <c r="K51" s="349"/>
    </row>
    <row r="52" ht="18" customHeight="1" spans="1:11">
      <c r="A52" s="524" t="s">
        <v>46</v>
      </c>
      <c r="B52" s="525" t="s">
        <v>151</v>
      </c>
      <c r="C52" s="623"/>
      <c r="D52" s="623"/>
      <c r="E52" s="623"/>
      <c r="F52" s="623"/>
      <c r="G52" s="519"/>
      <c r="H52" s="519"/>
      <c r="I52" s="519"/>
      <c r="J52" s="34">
        <v>44.06</v>
      </c>
      <c r="K52" s="349"/>
    </row>
    <row r="53" ht="18" customHeight="1" spans="1:11">
      <c r="A53" s="7" t="s">
        <v>83</v>
      </c>
      <c r="B53" s="11" t="s">
        <v>152</v>
      </c>
      <c r="C53" s="623"/>
      <c r="D53" s="623"/>
      <c r="E53" s="623"/>
      <c r="F53" s="623"/>
      <c r="G53" s="519"/>
      <c r="H53" s="519"/>
      <c r="I53" s="519"/>
      <c r="J53" s="34"/>
      <c r="K53" s="349"/>
    </row>
    <row r="54" ht="18" customHeight="1" spans="1:11">
      <c r="A54" s="7" t="s">
        <v>121</v>
      </c>
      <c r="B54" s="11" t="s">
        <v>153</v>
      </c>
      <c r="C54" s="623"/>
      <c r="D54" s="623"/>
      <c r="E54" s="623"/>
      <c r="F54" s="623"/>
      <c r="G54" s="519"/>
      <c r="H54" s="519"/>
      <c r="I54" s="519"/>
      <c r="J54" s="34">
        <v>6.12</v>
      </c>
      <c r="K54" s="349"/>
    </row>
    <row r="55" ht="18" customHeight="1" spans="1:11">
      <c r="A55" s="7"/>
      <c r="B55" s="11" t="s">
        <v>154</v>
      </c>
      <c r="C55" s="623"/>
      <c r="D55" s="623"/>
      <c r="E55" s="623"/>
      <c r="F55" s="623"/>
      <c r="G55" s="519"/>
      <c r="H55" s="519"/>
      <c r="I55" s="519"/>
      <c r="J55" s="34">
        <f>3.55+0.94</f>
        <v>4.49</v>
      </c>
      <c r="K55" s="349"/>
    </row>
    <row r="56" ht="18" customHeight="1" spans="1:11">
      <c r="A56" s="7" t="s">
        <v>135</v>
      </c>
      <c r="B56" s="11" t="s">
        <v>155</v>
      </c>
      <c r="C56" s="623"/>
      <c r="D56" s="623"/>
      <c r="E56" s="623"/>
      <c r="F56" s="623"/>
      <c r="G56" s="519"/>
      <c r="H56" s="519"/>
      <c r="I56" s="519"/>
      <c r="J56" s="34">
        <v>1</v>
      </c>
      <c r="K56" s="349"/>
    </row>
    <row r="57" ht="18" customHeight="1" spans="1:13">
      <c r="A57" s="526"/>
      <c r="B57" s="522" t="s">
        <v>156</v>
      </c>
      <c r="C57" s="624"/>
      <c r="D57" s="624"/>
      <c r="E57" s="624"/>
      <c r="F57" s="624">
        <v>4148.0703102952</v>
      </c>
      <c r="G57" s="519"/>
      <c r="H57" s="519"/>
      <c r="I57" s="519"/>
      <c r="J57" s="527">
        <f>J26+J27+J34+J43+J50</f>
        <v>3817.72025990837</v>
      </c>
      <c r="K57" s="223">
        <v>4150.98241243313</v>
      </c>
      <c r="M57" s="223">
        <f>K57-J57</f>
        <v>333.262152524755</v>
      </c>
    </row>
    <row r="58" ht="20.1" customHeight="1"/>
    <row r="59" ht="20.1" customHeight="1"/>
    <row r="60" ht="20.1" customHeight="1"/>
  </sheetData>
  <sheetProtection formatCells="0" insertHyperlinks="0" autoFilter="0"/>
  <mergeCells count="9">
    <mergeCell ref="A1:J1"/>
    <mergeCell ref="A4:B4"/>
    <mergeCell ref="A9:B9"/>
    <mergeCell ref="A13:B13"/>
    <mergeCell ref="A14:B14"/>
    <mergeCell ref="A15:B15"/>
    <mergeCell ref="A16:B16"/>
    <mergeCell ref="A17:B17"/>
    <mergeCell ref="A24:B24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tabColor rgb="FF7030A0"/>
  </sheetPr>
  <dimension ref="A1:XEG556"/>
  <sheetViews>
    <sheetView zoomScale="110" zoomScaleNormal="110" workbookViewId="0">
      <pane ySplit="4" topLeftCell="A509" activePane="bottomLeft" state="frozen"/>
      <selection/>
      <selection pane="bottomLeft" activeCell="L197" sqref="L197"/>
    </sheetView>
  </sheetViews>
  <sheetFormatPr defaultColWidth="9" defaultRowHeight="14.25"/>
  <cols>
    <col min="1" max="1" width="7.75" style="229" customWidth="1"/>
    <col min="2" max="2" width="32.875" style="323" customWidth="1"/>
    <col min="3" max="3" width="5.25" style="229" customWidth="1"/>
    <col min="4" max="4" width="10.75" style="229" hidden="1" customWidth="1"/>
    <col min="5" max="5" width="10.625" style="229" hidden="1" customWidth="1"/>
    <col min="6" max="6" width="12" style="498" hidden="1" customWidth="1"/>
    <col min="7" max="7" width="11.125" style="387" customWidth="1"/>
    <col min="8" max="8" width="10.875" style="387" customWidth="1"/>
    <col min="9" max="9" width="11.875" style="387" customWidth="1"/>
    <col min="10" max="10" width="10.75" style="387" customWidth="1"/>
    <col min="11" max="11" width="9" style="1"/>
    <col min="12" max="12" width="25.25" style="1" customWidth="1"/>
    <col min="13" max="13" width="5.375" style="1" customWidth="1"/>
    <col min="14" max="14" width="9.375" style="1"/>
    <col min="15" max="15" width="9" style="1"/>
    <col min="16" max="16" width="12.125" style="1" customWidth="1"/>
    <col min="17" max="16342" width="9" style="1"/>
    <col min="16347" max="16384" width="9" style="1"/>
  </cols>
  <sheetData>
    <row r="1" ht="15.95" customHeight="1" spans="1:10">
      <c r="A1" s="428" t="s">
        <v>157</v>
      </c>
      <c r="B1" s="428"/>
      <c r="C1" s="428"/>
      <c r="D1" s="428"/>
      <c r="E1" s="428"/>
      <c r="F1" s="428"/>
      <c r="G1" s="428"/>
      <c r="H1" s="428"/>
      <c r="I1" s="428"/>
      <c r="J1" s="429"/>
    </row>
    <row r="2" ht="15.95" customHeight="1" spans="1:10">
      <c r="A2" s="428"/>
      <c r="B2" s="428"/>
      <c r="C2" s="428"/>
      <c r="D2" s="428"/>
      <c r="E2" s="428"/>
      <c r="F2" s="428"/>
      <c r="G2" s="428"/>
      <c r="H2" s="428"/>
      <c r="I2" s="428"/>
      <c r="J2" s="429"/>
    </row>
    <row r="3" ht="15.95" customHeight="1" spans="1:10">
      <c r="A3" s="430"/>
      <c r="B3" s="430"/>
      <c r="C3" s="430"/>
      <c r="D3" s="430"/>
      <c r="E3" s="430"/>
      <c r="F3" s="430"/>
      <c r="G3" s="430"/>
      <c r="H3" s="430"/>
      <c r="I3" s="430"/>
      <c r="J3" s="429"/>
    </row>
    <row r="4" ht="15.95" customHeight="1" spans="1:10">
      <c r="A4" s="107" t="s">
        <v>158</v>
      </c>
      <c r="B4" s="107" t="s">
        <v>72</v>
      </c>
      <c r="C4" s="107" t="s">
        <v>159</v>
      </c>
      <c r="D4" s="540" t="s">
        <v>160</v>
      </c>
      <c r="E4" s="540" t="s">
        <v>161</v>
      </c>
      <c r="F4" s="541" t="s">
        <v>162</v>
      </c>
      <c r="G4" s="107" t="s">
        <v>160</v>
      </c>
      <c r="H4" s="107" t="s">
        <v>161</v>
      </c>
      <c r="I4" s="107" t="s">
        <v>162</v>
      </c>
      <c r="J4" s="431"/>
    </row>
    <row r="5" s="539" customFormat="1" ht="20.25" customHeight="1" spans="1:10">
      <c r="A5" s="432"/>
      <c r="B5" s="433" t="s">
        <v>77</v>
      </c>
      <c r="C5" s="432"/>
      <c r="D5" s="542"/>
      <c r="E5" s="542"/>
      <c r="F5" s="543">
        <v>31252610.1633932</v>
      </c>
      <c r="G5" s="432"/>
      <c r="H5" s="432"/>
      <c r="I5" s="434">
        <f>I6</f>
        <v>29282427.5038753</v>
      </c>
      <c r="J5" s="435">
        <f>SUM(J7:J510)</f>
        <v>29238590.0038753</v>
      </c>
    </row>
    <row r="6" s="539" customFormat="1" ht="24.75" customHeight="1" spans="1:10">
      <c r="A6" s="432"/>
      <c r="B6" s="436" t="s">
        <v>163</v>
      </c>
      <c r="C6" s="432"/>
      <c r="D6" s="542"/>
      <c r="E6" s="542"/>
      <c r="F6" s="543">
        <v>31252610.1633932</v>
      </c>
      <c r="G6" s="432"/>
      <c r="H6" s="432"/>
      <c r="I6" s="434">
        <f>I7+I103+I105+I122</f>
        <v>29282427.5038753</v>
      </c>
      <c r="J6" s="435"/>
    </row>
    <row r="7" s="539" customFormat="1" ht="15.95" customHeight="1" spans="1:10">
      <c r="A7" s="432" t="s">
        <v>34</v>
      </c>
      <c r="B7" s="433" t="s">
        <v>164</v>
      </c>
      <c r="C7" s="432"/>
      <c r="D7" s="542"/>
      <c r="E7" s="542"/>
      <c r="F7" s="543">
        <v>14462733.2197121</v>
      </c>
      <c r="G7" s="432"/>
      <c r="H7" s="432"/>
      <c r="I7" s="434">
        <f>I8+I25</f>
        <v>14284952.0186145</v>
      </c>
      <c r="J7" s="435"/>
    </row>
    <row r="8" s="63" customFormat="1" ht="15.95" customHeight="1" spans="1:10">
      <c r="A8" s="107">
        <v>1</v>
      </c>
      <c r="B8" s="371" t="s">
        <v>165</v>
      </c>
      <c r="C8" s="107"/>
      <c r="D8" s="540"/>
      <c r="E8" s="540"/>
      <c r="F8" s="541">
        <v>1996173.4286312</v>
      </c>
      <c r="G8" s="107"/>
      <c r="H8" s="107"/>
      <c r="I8" s="426">
        <f>I9+I13+I17+I21</f>
        <v>1818213.4426615</v>
      </c>
      <c r="J8" s="437"/>
    </row>
    <row r="9" s="63" customFormat="1" ht="15.95" customHeight="1" spans="1:10">
      <c r="A9" s="107">
        <v>1.1</v>
      </c>
      <c r="B9" s="371" t="s">
        <v>166</v>
      </c>
      <c r="C9" s="107" t="s">
        <v>167</v>
      </c>
      <c r="D9" s="540">
        <v>1927</v>
      </c>
      <c r="E9" s="540"/>
      <c r="F9" s="541">
        <v>782804.17726463</v>
      </c>
      <c r="G9" s="425">
        <v>1927</v>
      </c>
      <c r="H9" s="425"/>
      <c r="I9" s="426">
        <f>SUM(I10:I12)</f>
        <v>709556.263414187</v>
      </c>
      <c r="J9" s="437"/>
    </row>
    <row r="10" s="63" customFormat="1" ht="15.95" customHeight="1" spans="1:10">
      <c r="A10" s="107"/>
      <c r="B10" s="438" t="s">
        <v>168</v>
      </c>
      <c r="C10" s="439" t="s">
        <v>169</v>
      </c>
      <c r="D10" s="544">
        <v>2103.70588235294</v>
      </c>
      <c r="E10" s="544">
        <v>5.14523074445321</v>
      </c>
      <c r="F10" s="545">
        <v>10824.0521831694</v>
      </c>
      <c r="G10" s="425">
        <f>G11/0.85</f>
        <v>2103.70588235294</v>
      </c>
      <c r="H10" s="425">
        <f>单价汇总表!D8/100+单价汇总表!D14/100*0.6</f>
        <v>4.96614564305881</v>
      </c>
      <c r="I10" s="426">
        <f t="shared" ref="I10:I16" si="0">G10*H10</f>
        <v>10447.3098019242</v>
      </c>
      <c r="J10" s="437">
        <f t="shared" ref="J10:J25" si="1">G10*H10</f>
        <v>10447.3098019242</v>
      </c>
    </row>
    <row r="11" s="63" customFormat="1" ht="15.95" customHeight="1" spans="1:10">
      <c r="A11" s="107"/>
      <c r="B11" s="438" t="s">
        <v>170</v>
      </c>
      <c r="C11" s="439" t="s">
        <v>169</v>
      </c>
      <c r="D11" s="544">
        <v>1788.15</v>
      </c>
      <c r="E11" s="544">
        <v>6.35548683532444</v>
      </c>
      <c r="F11" s="545">
        <v>11364.5637845854</v>
      </c>
      <c r="G11" s="425">
        <f>1703*1.05</f>
        <v>1788.15</v>
      </c>
      <c r="H11" s="425">
        <f>单价汇总表!D34/100</f>
        <v>6.17193111109443</v>
      </c>
      <c r="I11" s="426">
        <f t="shared" si="0"/>
        <v>11036.3386163035</v>
      </c>
      <c r="J11" s="437">
        <f t="shared" si="1"/>
        <v>11036.3386163035</v>
      </c>
    </row>
    <row r="12" s="63" customFormat="1" ht="15.95" customHeight="1" spans="1:10">
      <c r="A12" s="546"/>
      <c r="B12" s="547" t="s">
        <v>171</v>
      </c>
      <c r="C12" s="548" t="s">
        <v>169</v>
      </c>
      <c r="D12" s="549">
        <v>22411.2941176471</v>
      </c>
      <c r="E12" s="549">
        <v>33.9389397731366</v>
      </c>
      <c r="F12" s="550">
        <v>760615.561296875</v>
      </c>
      <c r="G12" s="551">
        <f>24515-G11/0.85</f>
        <v>22411.2941176471</v>
      </c>
      <c r="H12" s="551">
        <f>单价汇总表!D25/100+(15-5)*1.55*0.63*1.09</f>
        <v>30.7020474312618</v>
      </c>
      <c r="I12" s="562">
        <f t="shared" si="0"/>
        <v>688072.614995959</v>
      </c>
      <c r="J12" s="437">
        <f t="shared" si="1"/>
        <v>688072.614995959</v>
      </c>
    </row>
    <row r="13" s="63" customFormat="1" ht="15.95" customHeight="1" spans="1:10">
      <c r="A13" s="107">
        <v>1.2</v>
      </c>
      <c r="B13" s="438" t="s">
        <v>172</v>
      </c>
      <c r="C13" s="439" t="s">
        <v>167</v>
      </c>
      <c r="D13" s="544">
        <v>2014</v>
      </c>
      <c r="E13" s="544"/>
      <c r="F13" s="545">
        <v>891204.576932465</v>
      </c>
      <c r="G13" s="425">
        <v>2014</v>
      </c>
      <c r="H13" s="425"/>
      <c r="I13" s="426">
        <f>SUM(I14:I16)</f>
        <v>814012.444524487</v>
      </c>
      <c r="J13" s="437">
        <f t="shared" si="1"/>
        <v>0</v>
      </c>
    </row>
    <row r="14" s="63" customFormat="1" ht="15.95" customHeight="1" spans="1:10">
      <c r="A14" s="107"/>
      <c r="B14" s="438" t="s">
        <v>168</v>
      </c>
      <c r="C14" s="439" t="s">
        <v>169</v>
      </c>
      <c r="D14" s="544">
        <v>4794.17647058824</v>
      </c>
      <c r="E14" s="544">
        <v>5.14523074445321</v>
      </c>
      <c r="F14" s="545">
        <v>24667.1441708048</v>
      </c>
      <c r="G14" s="425">
        <f>G15/0.85</f>
        <v>4794.17647058824</v>
      </c>
      <c r="H14" s="425">
        <f>H10</f>
        <v>4.96614564305881</v>
      </c>
      <c r="I14" s="426">
        <f t="shared" si="0"/>
        <v>23808.5785914668</v>
      </c>
      <c r="J14" s="437">
        <f t="shared" si="1"/>
        <v>23808.5785914668</v>
      </c>
    </row>
    <row r="15" s="63" customFormat="1" ht="15.95" customHeight="1" spans="1:10">
      <c r="A15" s="107"/>
      <c r="B15" s="438" t="s">
        <v>170</v>
      </c>
      <c r="C15" s="439" t="s">
        <v>169</v>
      </c>
      <c r="D15" s="544">
        <v>4075.05</v>
      </c>
      <c r="E15" s="544">
        <v>6.35548683532444</v>
      </c>
      <c r="F15" s="545">
        <v>25898.9266282889</v>
      </c>
      <c r="G15" s="425">
        <f>3881*1.05</f>
        <v>4075.05</v>
      </c>
      <c r="H15" s="425">
        <f>H11</f>
        <v>6.17193111109443</v>
      </c>
      <c r="I15" s="426">
        <f t="shared" si="0"/>
        <v>25150.9278742654</v>
      </c>
      <c r="J15" s="437">
        <f t="shared" si="1"/>
        <v>25150.9278742654</v>
      </c>
    </row>
    <row r="16" s="63" customFormat="1" ht="15.95" customHeight="1" spans="1:10">
      <c r="A16" s="546"/>
      <c r="B16" s="547" t="s">
        <v>173</v>
      </c>
      <c r="C16" s="548" t="s">
        <v>169</v>
      </c>
      <c r="D16" s="549">
        <v>24368.8235294118</v>
      </c>
      <c r="E16" s="549">
        <v>34.4964747731366</v>
      </c>
      <c r="F16" s="550">
        <v>840638.506133372</v>
      </c>
      <c r="G16" s="551">
        <f>29163-G15/0.85</f>
        <v>24368.8235294118</v>
      </c>
      <c r="H16" s="551">
        <f>单价汇总表!D25/100+(16-5)*1.55*0.61*1.09</f>
        <v>31.3947424312618</v>
      </c>
      <c r="I16" s="562">
        <f t="shared" si="0"/>
        <v>765052.938058755</v>
      </c>
      <c r="J16" s="437">
        <f t="shared" si="1"/>
        <v>765052.938058755</v>
      </c>
    </row>
    <row r="17" s="63" customFormat="1" ht="15.95" customHeight="1" spans="1:10">
      <c r="A17" s="107">
        <v>1.3</v>
      </c>
      <c r="B17" s="438" t="s">
        <v>174</v>
      </c>
      <c r="C17" s="439" t="s">
        <v>167</v>
      </c>
      <c r="D17" s="544">
        <v>1036</v>
      </c>
      <c r="E17" s="544"/>
      <c r="F17" s="545">
        <v>250175.176230437</v>
      </c>
      <c r="G17" s="425">
        <v>1036</v>
      </c>
      <c r="H17" s="425"/>
      <c r="I17" s="426">
        <f>SUM(I18:I20)</f>
        <v>228756.133132309</v>
      </c>
      <c r="J17" s="437">
        <f t="shared" si="1"/>
        <v>0</v>
      </c>
    </row>
    <row r="18" s="63" customFormat="1" ht="15.95" customHeight="1" spans="1:10">
      <c r="A18" s="107"/>
      <c r="B18" s="438" t="s">
        <v>168</v>
      </c>
      <c r="C18" s="7" t="s">
        <v>169</v>
      </c>
      <c r="D18" s="552">
        <v>1131.76470588235</v>
      </c>
      <c r="E18" s="552">
        <v>5.14523074445321</v>
      </c>
      <c r="F18" s="553">
        <v>5823.19056019291</v>
      </c>
      <c r="G18" s="425">
        <f>G19/0.85</f>
        <v>1131.76470588235</v>
      </c>
      <c r="H18" s="425">
        <f>H14</f>
        <v>4.96614564305881</v>
      </c>
      <c r="I18" s="426">
        <f>G18*H18</f>
        <v>5620.50836308538</v>
      </c>
      <c r="J18" s="437">
        <f t="shared" si="1"/>
        <v>5620.50836308538</v>
      </c>
    </row>
    <row r="19" s="63" customFormat="1" ht="15.95" customHeight="1" spans="1:10">
      <c r="A19" s="107"/>
      <c r="B19" s="438" t="s">
        <v>170</v>
      </c>
      <c r="C19" s="7" t="s">
        <v>175</v>
      </c>
      <c r="D19" s="552">
        <v>962</v>
      </c>
      <c r="E19" s="552">
        <v>6.35548683532444</v>
      </c>
      <c r="F19" s="553">
        <v>6113.97833558211</v>
      </c>
      <c r="G19" s="425">
        <v>962</v>
      </c>
      <c r="H19" s="425">
        <f>H15</f>
        <v>6.17193111109443</v>
      </c>
      <c r="I19" s="426">
        <f>G19*H19</f>
        <v>5937.39772887285</v>
      </c>
      <c r="J19" s="437">
        <f t="shared" si="1"/>
        <v>5937.39772887285</v>
      </c>
    </row>
    <row r="20" s="63" customFormat="1" ht="15.95" customHeight="1" spans="1:10">
      <c r="A20" s="546"/>
      <c r="B20" s="547" t="s">
        <v>176</v>
      </c>
      <c r="C20" s="548" t="s">
        <v>169</v>
      </c>
      <c r="D20" s="549">
        <v>6783.23529411765</v>
      </c>
      <c r="E20" s="549">
        <v>35.1215897731366</v>
      </c>
      <c r="F20" s="550">
        <v>238238.007334662</v>
      </c>
      <c r="G20" s="551">
        <f>7915-G19/0.85</f>
        <v>6783.23529411765</v>
      </c>
      <c r="H20" s="551">
        <f>单价汇总表!D25/100+(17-5)*1.55*0.59*1.09</f>
        <v>32.0198574312618</v>
      </c>
      <c r="I20" s="562">
        <f>G20*H20</f>
        <v>217198.22704035</v>
      </c>
      <c r="J20" s="437">
        <f t="shared" si="1"/>
        <v>217198.22704035</v>
      </c>
    </row>
    <row r="21" s="63" customFormat="1" ht="15.95" customHeight="1" spans="1:10">
      <c r="A21" s="440" t="s">
        <v>177</v>
      </c>
      <c r="B21" s="371" t="s">
        <v>178</v>
      </c>
      <c r="C21" s="107" t="s">
        <v>167</v>
      </c>
      <c r="D21" s="540">
        <v>345</v>
      </c>
      <c r="E21" s="540"/>
      <c r="F21" s="541">
        <v>71989.4982036691</v>
      </c>
      <c r="G21" s="425">
        <f>40204-39859</f>
        <v>345</v>
      </c>
      <c r="H21" s="425"/>
      <c r="I21" s="426">
        <f>SUM(I22:I24)</f>
        <v>65888.6015905191</v>
      </c>
      <c r="J21" s="437">
        <f t="shared" si="1"/>
        <v>0</v>
      </c>
    </row>
    <row r="22" s="63" customFormat="1" ht="15.95" customHeight="1" spans="1:10">
      <c r="A22" s="107"/>
      <c r="B22" s="438" t="s">
        <v>168</v>
      </c>
      <c r="C22" s="7" t="s">
        <v>169</v>
      </c>
      <c r="D22" s="552">
        <v>430.588235294118</v>
      </c>
      <c r="E22" s="552">
        <v>5.14523074445321</v>
      </c>
      <c r="F22" s="553">
        <v>2215.47582643515</v>
      </c>
      <c r="G22" s="425">
        <f>G23/0.85</f>
        <v>430.588235294118</v>
      </c>
      <c r="H22" s="425">
        <f>H18</f>
        <v>4.96614564305881</v>
      </c>
      <c r="I22" s="426">
        <f>G22*H22</f>
        <v>2138.36388865826</v>
      </c>
      <c r="J22" s="437">
        <f t="shared" si="1"/>
        <v>2138.36388865826</v>
      </c>
    </row>
    <row r="23" s="63" customFormat="1" ht="15.95" customHeight="1" spans="1:10">
      <c r="A23" s="107"/>
      <c r="B23" s="438" t="s">
        <v>170</v>
      </c>
      <c r="C23" s="439" t="s">
        <v>169</v>
      </c>
      <c r="D23" s="544">
        <v>366</v>
      </c>
      <c r="E23" s="544">
        <v>6.35548683532444</v>
      </c>
      <c r="F23" s="545">
        <v>2326.10818172874</v>
      </c>
      <c r="G23" s="425">
        <v>366</v>
      </c>
      <c r="H23" s="425">
        <f>H19</f>
        <v>6.17193111109443</v>
      </c>
      <c r="I23" s="426">
        <f>G23*H23</f>
        <v>2258.92678666056</v>
      </c>
      <c r="J23" s="437">
        <f t="shared" si="1"/>
        <v>2258.92678666056</v>
      </c>
    </row>
    <row r="24" s="63" customFormat="1" ht="15.95" customHeight="1" spans="1:10">
      <c r="A24" s="546"/>
      <c r="B24" s="547" t="s">
        <v>176</v>
      </c>
      <c r="C24" s="548" t="s">
        <v>169</v>
      </c>
      <c r="D24" s="549">
        <v>1920.41176470588</v>
      </c>
      <c r="E24" s="549">
        <v>35.1215897731366</v>
      </c>
      <c r="F24" s="550">
        <v>67447.9141955052</v>
      </c>
      <c r="G24" s="551">
        <f>2351-G23/0.85</f>
        <v>1920.41176470588</v>
      </c>
      <c r="H24" s="551">
        <f>H20</f>
        <v>32.0198574312618</v>
      </c>
      <c r="I24" s="562">
        <f>G24*H24</f>
        <v>61491.3109152003</v>
      </c>
      <c r="J24" s="437">
        <f t="shared" si="1"/>
        <v>61491.3109152003</v>
      </c>
    </row>
    <row r="25" s="63" customFormat="1" ht="15.95" customHeight="1" spans="1:10">
      <c r="A25" s="107">
        <v>2</v>
      </c>
      <c r="B25" s="371" t="s">
        <v>179</v>
      </c>
      <c r="C25" s="107"/>
      <c r="D25" s="540"/>
      <c r="E25" s="540"/>
      <c r="F25" s="541">
        <v>12466559.7910809</v>
      </c>
      <c r="G25" s="425"/>
      <c r="H25" s="425"/>
      <c r="I25" s="426">
        <f>I26+I30+I34+I38</f>
        <v>12466738.575953</v>
      </c>
      <c r="J25" s="437">
        <f t="shared" si="1"/>
        <v>0</v>
      </c>
    </row>
    <row r="26" s="539" customFormat="1" ht="15.95" customHeight="1" spans="1:10">
      <c r="A26" s="107">
        <v>2.1</v>
      </c>
      <c r="B26" s="371" t="s">
        <v>166</v>
      </c>
      <c r="C26" s="107" t="s">
        <v>167</v>
      </c>
      <c r="D26" s="540">
        <v>1927</v>
      </c>
      <c r="E26" s="540"/>
      <c r="F26" s="541">
        <v>3047545.6468794</v>
      </c>
      <c r="G26" s="425">
        <v>1927</v>
      </c>
      <c r="H26" s="425"/>
      <c r="I26" s="426">
        <f>SUM(I27:I29)</f>
        <v>3047545.6468794</v>
      </c>
      <c r="J26" s="437">
        <f t="shared" ref="J26:J51" si="2">G26*H26</f>
        <v>0</v>
      </c>
    </row>
    <row r="27" s="539" customFormat="1" ht="15.95" customHeight="1" spans="1:10">
      <c r="A27" s="107"/>
      <c r="B27" s="441" t="s">
        <v>180</v>
      </c>
      <c r="C27" s="7" t="s">
        <v>169</v>
      </c>
      <c r="D27" s="552">
        <v>6070.05</v>
      </c>
      <c r="E27" s="552">
        <v>383.450770420328</v>
      </c>
      <c r="F27" s="553">
        <v>2327565.34898991</v>
      </c>
      <c r="G27" s="425">
        <v>6070.05</v>
      </c>
      <c r="H27" s="554">
        <f>单价汇总表!D146/100</f>
        <v>383.450770420328</v>
      </c>
      <c r="I27" s="426">
        <f>G27*H27</f>
        <v>2327565.34898991</v>
      </c>
      <c r="J27" s="437">
        <f t="shared" si="2"/>
        <v>2327565.34898991</v>
      </c>
    </row>
    <row r="28" s="539" customFormat="1" ht="15.95" customHeight="1" spans="1:10">
      <c r="A28" s="107"/>
      <c r="B28" s="11" t="s">
        <v>181</v>
      </c>
      <c r="C28" s="7" t="s">
        <v>175</v>
      </c>
      <c r="D28" s="552">
        <v>23268.53</v>
      </c>
      <c r="E28" s="552">
        <v>4.53092466547082</v>
      </c>
      <c r="F28" s="553">
        <v>105427.956506248</v>
      </c>
      <c r="G28" s="425">
        <v>23268.53</v>
      </c>
      <c r="H28" s="425">
        <f>单价汇总表!D71/100</f>
        <v>4.53092466547082</v>
      </c>
      <c r="I28" s="426">
        <f>G28*H28</f>
        <v>105427.956506248</v>
      </c>
      <c r="J28" s="437">
        <f t="shared" si="2"/>
        <v>105427.956506248</v>
      </c>
    </row>
    <row r="29" s="539" customFormat="1" ht="15.95" customHeight="1" spans="1:10">
      <c r="A29" s="107"/>
      <c r="B29" s="442" t="s">
        <v>182</v>
      </c>
      <c r="C29" s="439" t="s">
        <v>169</v>
      </c>
      <c r="D29" s="544">
        <v>2428.02</v>
      </c>
      <c r="E29" s="544">
        <v>253.108434602368</v>
      </c>
      <c r="F29" s="545">
        <v>614552.341383242</v>
      </c>
      <c r="G29" s="443">
        <v>2428.02</v>
      </c>
      <c r="H29" s="554">
        <f>单价汇总表!D150/100</f>
        <v>253.108434602368</v>
      </c>
      <c r="I29" s="426">
        <f>G29*H29</f>
        <v>614552.341383243</v>
      </c>
      <c r="J29" s="437">
        <f t="shared" si="2"/>
        <v>614552.341383243</v>
      </c>
    </row>
    <row r="30" s="539" customFormat="1" ht="15.95" customHeight="1" spans="1:10">
      <c r="A30" s="440">
        <v>2.2</v>
      </c>
      <c r="B30" s="371" t="s">
        <v>183</v>
      </c>
      <c r="C30" s="107" t="s">
        <v>167</v>
      </c>
      <c r="D30" s="540">
        <v>4120</v>
      </c>
      <c r="E30" s="540"/>
      <c r="F30" s="541">
        <v>6515769.57540534</v>
      </c>
      <c r="G30" s="443">
        <v>4120</v>
      </c>
      <c r="H30" s="425"/>
      <c r="I30" s="426">
        <f>SUM(I31:I33)</f>
        <v>6515769.57540534</v>
      </c>
      <c r="J30" s="437">
        <f t="shared" si="2"/>
        <v>0</v>
      </c>
    </row>
    <row r="31" s="539" customFormat="1" ht="15.95" customHeight="1" spans="1:10">
      <c r="A31" s="440"/>
      <c r="B31" s="441" t="s">
        <v>184</v>
      </c>
      <c r="C31" s="7" t="s">
        <v>169</v>
      </c>
      <c r="D31" s="552">
        <v>12978</v>
      </c>
      <c r="E31" s="552">
        <v>383.450770420328</v>
      </c>
      <c r="F31" s="553">
        <v>4976424.09851502</v>
      </c>
      <c r="G31" s="443">
        <v>12978</v>
      </c>
      <c r="H31" s="425">
        <f>H27</f>
        <v>383.450770420328</v>
      </c>
      <c r="I31" s="426">
        <f t="shared" ref="I31:I37" si="3">G31*H31</f>
        <v>4976424.09851502</v>
      </c>
      <c r="J31" s="437">
        <f t="shared" si="2"/>
        <v>4976424.09851502</v>
      </c>
    </row>
    <row r="32" s="539" customFormat="1" ht="15.95" customHeight="1" spans="1:10">
      <c r="A32" s="440"/>
      <c r="B32" s="11" t="s">
        <v>185</v>
      </c>
      <c r="C32" s="7" t="s">
        <v>175</v>
      </c>
      <c r="D32" s="552">
        <v>49749</v>
      </c>
      <c r="E32" s="552">
        <v>4.53092466547082</v>
      </c>
      <c r="F32" s="553">
        <v>225408.971182508</v>
      </c>
      <c r="G32" s="443">
        <v>49749</v>
      </c>
      <c r="H32" s="425">
        <f>H28</f>
        <v>4.53092466547082</v>
      </c>
      <c r="I32" s="426">
        <f t="shared" si="3"/>
        <v>225408.971182508</v>
      </c>
      <c r="J32" s="437">
        <f t="shared" si="2"/>
        <v>225408.971182508</v>
      </c>
    </row>
    <row r="33" s="539" customFormat="1" ht="15.95" customHeight="1" spans="1:10">
      <c r="A33" s="440"/>
      <c r="B33" s="442" t="s">
        <v>186</v>
      </c>
      <c r="C33" s="439" t="s">
        <v>169</v>
      </c>
      <c r="D33" s="544">
        <v>5191.2</v>
      </c>
      <c r="E33" s="544">
        <v>253.108434602368</v>
      </c>
      <c r="F33" s="545">
        <v>1313936.50570781</v>
      </c>
      <c r="G33" s="443">
        <v>5191.2</v>
      </c>
      <c r="H33" s="425">
        <f>H29</f>
        <v>253.108434602368</v>
      </c>
      <c r="I33" s="426">
        <f t="shared" si="3"/>
        <v>1313936.50570782</v>
      </c>
      <c r="J33" s="437">
        <f t="shared" si="2"/>
        <v>1313936.50570782</v>
      </c>
    </row>
    <row r="34" s="539" customFormat="1" ht="15.95" customHeight="1" spans="1:10">
      <c r="A34" s="440">
        <v>2.3</v>
      </c>
      <c r="B34" s="371" t="s">
        <v>187</v>
      </c>
      <c r="C34" s="107" t="s">
        <v>167</v>
      </c>
      <c r="D34" s="540">
        <v>1199</v>
      </c>
      <c r="E34" s="540"/>
      <c r="F34" s="541">
        <v>1896215.46624053</v>
      </c>
      <c r="G34" s="443">
        <v>1199</v>
      </c>
      <c r="H34" s="425"/>
      <c r="I34" s="426">
        <f>SUM(I35:I37)</f>
        <v>1896215.46624054</v>
      </c>
      <c r="J34" s="437">
        <f t="shared" si="2"/>
        <v>0</v>
      </c>
    </row>
    <row r="35" s="539" customFormat="1" ht="15.95" customHeight="1" spans="1:10">
      <c r="A35" s="440"/>
      <c r="B35" s="441" t="s">
        <v>184</v>
      </c>
      <c r="C35" s="7" t="s">
        <v>169</v>
      </c>
      <c r="D35" s="552">
        <v>3776.85</v>
      </c>
      <c r="E35" s="552">
        <v>383.450770420328</v>
      </c>
      <c r="F35" s="553">
        <v>1448236.04226202</v>
      </c>
      <c r="G35" s="443">
        <v>3776.85</v>
      </c>
      <c r="H35" s="425">
        <f>H31</f>
        <v>383.450770420328</v>
      </c>
      <c r="I35" s="426">
        <f t="shared" si="3"/>
        <v>1448236.04226202</v>
      </c>
      <c r="J35" s="437">
        <f t="shared" si="2"/>
        <v>1448236.04226202</v>
      </c>
    </row>
    <row r="36" s="539" customFormat="1" ht="15.95" customHeight="1" spans="1:10">
      <c r="A36" s="440"/>
      <c r="B36" s="11" t="s">
        <v>185</v>
      </c>
      <c r="C36" s="7" t="s">
        <v>175</v>
      </c>
      <c r="D36" s="552">
        <v>14477.925</v>
      </c>
      <c r="E36" s="552">
        <v>4.53092466547082</v>
      </c>
      <c r="F36" s="553">
        <v>65598.3874873366</v>
      </c>
      <c r="G36" s="443">
        <v>14477.925</v>
      </c>
      <c r="H36" s="425">
        <f>H32</f>
        <v>4.53092466547082</v>
      </c>
      <c r="I36" s="426">
        <f t="shared" si="3"/>
        <v>65598.3874873366</v>
      </c>
      <c r="J36" s="437">
        <f t="shared" si="2"/>
        <v>65598.3874873366</v>
      </c>
    </row>
    <row r="37" s="539" customFormat="1" ht="15.95" customHeight="1" spans="1:10">
      <c r="A37" s="440"/>
      <c r="B37" s="442" t="s">
        <v>186</v>
      </c>
      <c r="C37" s="439" t="s">
        <v>169</v>
      </c>
      <c r="D37" s="544">
        <v>1510.74</v>
      </c>
      <c r="E37" s="544">
        <v>253.108434602368</v>
      </c>
      <c r="F37" s="545">
        <v>382381.036491181</v>
      </c>
      <c r="G37" s="443">
        <v>1510.74</v>
      </c>
      <c r="H37" s="425">
        <f>H33</f>
        <v>253.108434602368</v>
      </c>
      <c r="I37" s="426">
        <f t="shared" si="3"/>
        <v>382381.036491182</v>
      </c>
      <c r="J37" s="437">
        <f t="shared" si="2"/>
        <v>382381.036491182</v>
      </c>
    </row>
    <row r="38" s="63" customFormat="1" ht="15.95" customHeight="1" spans="1:10">
      <c r="A38" s="107">
        <v>2.4</v>
      </c>
      <c r="B38" s="371" t="s">
        <v>188</v>
      </c>
      <c r="C38" s="107"/>
      <c r="D38" s="540"/>
      <c r="E38" s="540"/>
      <c r="F38" s="541">
        <v>1007029.10255564</v>
      </c>
      <c r="G38" s="443"/>
      <c r="H38" s="425"/>
      <c r="I38" s="426">
        <f>I39+I75+I96</f>
        <v>1007207.88742777</v>
      </c>
      <c r="J38" s="437">
        <f t="shared" si="2"/>
        <v>0</v>
      </c>
    </row>
    <row r="39" s="539" customFormat="1" ht="15.95" customHeight="1" spans="1:10">
      <c r="A39" s="107" t="s">
        <v>189</v>
      </c>
      <c r="B39" s="371" t="s">
        <v>190</v>
      </c>
      <c r="C39" s="107"/>
      <c r="D39" s="540"/>
      <c r="E39" s="540"/>
      <c r="F39" s="541">
        <v>264267.998908163</v>
      </c>
      <c r="G39" s="443"/>
      <c r="H39" s="425"/>
      <c r="I39" s="426">
        <f>I40+I52+I64</f>
        <v>264301.674217225</v>
      </c>
      <c r="J39" s="437">
        <f t="shared" si="2"/>
        <v>0</v>
      </c>
    </row>
    <row r="40" s="539" customFormat="1" ht="15.95" customHeight="1" spans="1:10">
      <c r="A40" s="107" t="s">
        <v>191</v>
      </c>
      <c r="B40" s="371" t="s">
        <v>192</v>
      </c>
      <c r="C40" s="107" t="s">
        <v>193</v>
      </c>
      <c r="D40" s="540">
        <v>2</v>
      </c>
      <c r="E40" s="540"/>
      <c r="F40" s="541">
        <v>111068.700392437</v>
      </c>
      <c r="G40" s="443">
        <v>2</v>
      </c>
      <c r="H40" s="425"/>
      <c r="I40" s="426">
        <f>SUM(I41:I51)</f>
        <v>111078.350660048</v>
      </c>
      <c r="J40" s="437">
        <f t="shared" si="2"/>
        <v>0</v>
      </c>
    </row>
    <row r="41" s="539" customFormat="1" ht="15.95" customHeight="1" spans="1:10">
      <c r="A41" s="107"/>
      <c r="B41" s="11" t="s">
        <v>168</v>
      </c>
      <c r="C41" s="7" t="s">
        <v>169</v>
      </c>
      <c r="D41" s="552">
        <v>304.5</v>
      </c>
      <c r="E41" s="552">
        <v>5.79967259622126</v>
      </c>
      <c r="F41" s="553">
        <v>1766.00030554937</v>
      </c>
      <c r="G41" s="455">
        <v>304.5</v>
      </c>
      <c r="H41" s="425">
        <f>单价汇总表!D8/100+单价汇总表!D10/100*0.55</f>
        <v>5.59741698768686</v>
      </c>
      <c r="I41" s="426">
        <f t="shared" ref="I41:I51" si="4">G41*H41</f>
        <v>1704.41347275065</v>
      </c>
      <c r="J41" s="437">
        <f t="shared" si="2"/>
        <v>1704.41347275065</v>
      </c>
    </row>
    <row r="42" s="539" customFormat="1" ht="15.95" customHeight="1" spans="1:10">
      <c r="A42" s="107"/>
      <c r="B42" s="11" t="s">
        <v>194</v>
      </c>
      <c r="C42" s="7" t="s">
        <v>169</v>
      </c>
      <c r="D42" s="552">
        <v>151.2</v>
      </c>
      <c r="E42" s="552">
        <v>14.0473955850729</v>
      </c>
      <c r="F42" s="553">
        <v>2123.96621246302</v>
      </c>
      <c r="G42" s="455">
        <v>151.2</v>
      </c>
      <c r="H42" s="425">
        <f>单价汇总表!D34/100*0.5+单价汇总表!D35/100*0.5</f>
        <v>13.9556177229579</v>
      </c>
      <c r="I42" s="426">
        <f t="shared" si="4"/>
        <v>2110.08939971123</v>
      </c>
      <c r="J42" s="437">
        <f t="shared" si="2"/>
        <v>2110.08939971123</v>
      </c>
    </row>
    <row r="43" s="539" customFormat="1" ht="15.95" customHeight="1" spans="1:10">
      <c r="A43" s="107"/>
      <c r="B43" s="11" t="s">
        <v>195</v>
      </c>
      <c r="C43" s="7" t="s">
        <v>169</v>
      </c>
      <c r="D43" s="552">
        <v>46.788</v>
      </c>
      <c r="E43" s="552">
        <v>339.924364001393</v>
      </c>
      <c r="F43" s="553">
        <v>15904.3811428972</v>
      </c>
      <c r="G43" s="455">
        <v>46.788</v>
      </c>
      <c r="H43" s="425">
        <f>单价汇总表!D39/100</f>
        <v>339.924364001393</v>
      </c>
      <c r="I43" s="426">
        <f t="shared" si="4"/>
        <v>15904.3811428972</v>
      </c>
      <c r="J43" s="437">
        <f t="shared" si="2"/>
        <v>15904.3811428972</v>
      </c>
    </row>
    <row r="44" s="539" customFormat="1" ht="15.95" customHeight="1" spans="1:10">
      <c r="A44" s="107"/>
      <c r="B44" s="11" t="s">
        <v>196</v>
      </c>
      <c r="C44" s="7" t="s">
        <v>169</v>
      </c>
      <c r="D44" s="552">
        <v>133.8666</v>
      </c>
      <c r="E44" s="552">
        <v>334.4306984649</v>
      </c>
      <c r="F44" s="553">
        <v>44769.1005391214</v>
      </c>
      <c r="G44" s="455">
        <v>133.8666</v>
      </c>
      <c r="H44" s="425">
        <f>单价汇总表!D42/100</f>
        <v>334.4306984649</v>
      </c>
      <c r="I44" s="426">
        <f t="shared" si="4"/>
        <v>44769.1005391214</v>
      </c>
      <c r="J44" s="437">
        <f t="shared" si="2"/>
        <v>44769.1005391214</v>
      </c>
    </row>
    <row r="45" s="539" customFormat="1" ht="15.95" customHeight="1" spans="1:10">
      <c r="A45" s="107"/>
      <c r="B45" s="11" t="s">
        <v>197</v>
      </c>
      <c r="C45" s="7" t="s">
        <v>169</v>
      </c>
      <c r="D45" s="552">
        <v>17.64</v>
      </c>
      <c r="E45" s="552">
        <v>648.132370773425</v>
      </c>
      <c r="F45" s="553">
        <v>11433.0550204432</v>
      </c>
      <c r="G45" s="455">
        <v>17.64</v>
      </c>
      <c r="H45" s="425">
        <f>单价汇总表!D83/100</f>
        <v>648.095065697824</v>
      </c>
      <c r="I45" s="426">
        <f t="shared" si="4"/>
        <v>11432.3969589096</v>
      </c>
      <c r="J45" s="437">
        <f t="shared" si="2"/>
        <v>11432.3969589096</v>
      </c>
    </row>
    <row r="46" s="539" customFormat="1" ht="15.95" customHeight="1" spans="1:10">
      <c r="A46" s="107"/>
      <c r="B46" s="11" t="s">
        <v>198</v>
      </c>
      <c r="C46" s="7" t="s">
        <v>169</v>
      </c>
      <c r="D46" s="552">
        <v>3.7044</v>
      </c>
      <c r="E46" s="552">
        <v>528.044427933793</v>
      </c>
      <c r="F46" s="553">
        <v>1956.08777883794</v>
      </c>
      <c r="G46" s="455">
        <v>3.7044</v>
      </c>
      <c r="H46" s="425">
        <f>单价汇总表!D106/100</f>
        <v>528.027088954994</v>
      </c>
      <c r="I46" s="426">
        <f t="shared" si="4"/>
        <v>1956.02354832488</v>
      </c>
      <c r="J46" s="437">
        <f t="shared" si="2"/>
        <v>1956.02354832488</v>
      </c>
    </row>
    <row r="47" s="539" customFormat="1" ht="15.95" customHeight="1" spans="1:10">
      <c r="A47" s="107"/>
      <c r="B47" s="11" t="s">
        <v>199</v>
      </c>
      <c r="C47" s="459" t="s">
        <v>200</v>
      </c>
      <c r="D47" s="555">
        <v>0.383229</v>
      </c>
      <c r="E47" s="555">
        <v>6547.06860221045</v>
      </c>
      <c r="F47" s="556">
        <v>2509.02655335651</v>
      </c>
      <c r="G47" s="455">
        <v>0.383229</v>
      </c>
      <c r="H47" s="557">
        <f>单价汇总表!D49</f>
        <v>6774.28452813344</v>
      </c>
      <c r="I47" s="426">
        <f t="shared" si="4"/>
        <v>2596.10228543205</v>
      </c>
      <c r="J47" s="437">
        <f t="shared" si="2"/>
        <v>2596.10228543205</v>
      </c>
    </row>
    <row r="48" s="539" customFormat="1" ht="24" spans="1:10">
      <c r="A48" s="107"/>
      <c r="B48" s="406" t="s">
        <v>201</v>
      </c>
      <c r="C48" s="528" t="s">
        <v>167</v>
      </c>
      <c r="D48" s="558">
        <v>18</v>
      </c>
      <c r="E48" s="558">
        <v>831.726181406453</v>
      </c>
      <c r="F48" s="559">
        <v>14971.0712653162</v>
      </c>
      <c r="G48" s="455">
        <v>18</v>
      </c>
      <c r="H48" s="425">
        <f>单价汇总表!D53/100</f>
        <v>831.726181406453</v>
      </c>
      <c r="I48" s="426">
        <f t="shared" si="4"/>
        <v>14971.0712653162</v>
      </c>
      <c r="J48" s="437">
        <f t="shared" si="2"/>
        <v>14971.0712653162</v>
      </c>
    </row>
    <row r="49" s="539" customFormat="1" ht="15.95" customHeight="1" spans="1:10">
      <c r="A49" s="107"/>
      <c r="B49" s="11" t="s">
        <v>202</v>
      </c>
      <c r="C49" s="7" t="s">
        <v>169</v>
      </c>
      <c r="D49" s="552">
        <v>13.23</v>
      </c>
      <c r="E49" s="552">
        <v>622.114294807315</v>
      </c>
      <c r="F49" s="553">
        <v>8230.57212030078</v>
      </c>
      <c r="G49" s="455">
        <v>13.23</v>
      </c>
      <c r="H49" s="557">
        <f>单价汇总表!D93/100</f>
        <v>622.020604189982</v>
      </c>
      <c r="I49" s="426">
        <f t="shared" si="4"/>
        <v>8229.33259343347</v>
      </c>
      <c r="J49" s="437">
        <f t="shared" si="2"/>
        <v>8229.33259343347</v>
      </c>
    </row>
    <row r="50" s="539" customFormat="1" ht="15.95" customHeight="1" spans="1:10">
      <c r="A50" s="107"/>
      <c r="B50" s="11" t="s">
        <v>203</v>
      </c>
      <c r="C50" s="7" t="s">
        <v>169</v>
      </c>
      <c r="D50" s="552">
        <v>21.168</v>
      </c>
      <c r="E50" s="552">
        <v>308.036941049453</v>
      </c>
      <c r="F50" s="553">
        <v>6520.52596813482</v>
      </c>
      <c r="G50" s="455">
        <v>21.168</v>
      </c>
      <c r="H50" s="425">
        <f>单价汇总表!D43/100</f>
        <v>308.036941049453</v>
      </c>
      <c r="I50" s="426">
        <f t="shared" si="4"/>
        <v>6520.52596813482</v>
      </c>
      <c r="J50" s="437">
        <f t="shared" si="2"/>
        <v>6520.52596813482</v>
      </c>
    </row>
    <row r="51" s="539" customFormat="1" ht="15.95" customHeight="1" spans="1:10">
      <c r="A51" s="107"/>
      <c r="B51" s="453" t="s">
        <v>204</v>
      </c>
      <c r="C51" s="454" t="s">
        <v>169</v>
      </c>
      <c r="D51" s="560">
        <v>34.5744</v>
      </c>
      <c r="E51" s="560">
        <v>25.59447122776</v>
      </c>
      <c r="F51" s="561">
        <v>884.913486017065</v>
      </c>
      <c r="G51" s="443">
        <f>G45+G46+G49</f>
        <v>34.5744</v>
      </c>
      <c r="H51" s="425">
        <f>单价汇总表!D143</f>
        <v>25.59447122776</v>
      </c>
      <c r="I51" s="426">
        <f t="shared" si="4"/>
        <v>884.913486017065</v>
      </c>
      <c r="J51" s="437">
        <f t="shared" si="2"/>
        <v>884.913486017065</v>
      </c>
    </row>
    <row r="52" s="539" customFormat="1" ht="15.95" customHeight="1" spans="1:10">
      <c r="A52" s="107" t="s">
        <v>205</v>
      </c>
      <c r="B52" s="453" t="s">
        <v>206</v>
      </c>
      <c r="C52" s="454" t="s">
        <v>193</v>
      </c>
      <c r="D52" s="560">
        <v>1</v>
      </c>
      <c r="E52" s="560"/>
      <c r="F52" s="561">
        <v>71832.1885405836</v>
      </c>
      <c r="G52" s="443">
        <v>1</v>
      </c>
      <c r="H52" s="425"/>
      <c r="I52" s="426">
        <f>SUM(I53:I63)</f>
        <v>71834.8336762052</v>
      </c>
      <c r="J52" s="437">
        <f t="shared" ref="J52:J64" si="5">G52*H52</f>
        <v>0</v>
      </c>
    </row>
    <row r="53" s="539" customFormat="1" ht="15.95" customHeight="1" spans="1:10">
      <c r="A53" s="107"/>
      <c r="B53" s="453" t="s">
        <v>168</v>
      </c>
      <c r="C53" s="7" t="s">
        <v>169</v>
      </c>
      <c r="D53" s="552">
        <v>177.1875</v>
      </c>
      <c r="E53" s="552">
        <v>5.79967259622126</v>
      </c>
      <c r="F53" s="553">
        <v>1027.62948814295</v>
      </c>
      <c r="G53" s="455">
        <v>177.1875</v>
      </c>
      <c r="H53" s="425">
        <f>H41</f>
        <v>5.59741698768686</v>
      </c>
      <c r="I53" s="426">
        <f t="shared" ref="I53:I63" si="6">G53*H53</f>
        <v>991.792322505765</v>
      </c>
      <c r="J53" s="437">
        <f t="shared" si="5"/>
        <v>991.792322505765</v>
      </c>
    </row>
    <row r="54" s="539" customFormat="1" ht="15.95" customHeight="1" spans="1:10">
      <c r="A54" s="107"/>
      <c r="B54" s="453" t="s">
        <v>194</v>
      </c>
      <c r="C54" s="7" t="s">
        <v>169</v>
      </c>
      <c r="D54" s="552">
        <v>88.263</v>
      </c>
      <c r="E54" s="552">
        <v>14.0473955850729</v>
      </c>
      <c r="F54" s="553">
        <v>1239.86527652529</v>
      </c>
      <c r="G54" s="455">
        <v>88.263</v>
      </c>
      <c r="H54" s="425">
        <f t="shared" ref="H54:H59" si="7">H42</f>
        <v>13.9556177229579</v>
      </c>
      <c r="I54" s="426">
        <f t="shared" si="6"/>
        <v>1231.76468708143</v>
      </c>
      <c r="J54" s="437">
        <f t="shared" si="5"/>
        <v>1231.76468708143</v>
      </c>
    </row>
    <row r="55" s="539" customFormat="1" ht="15.95" customHeight="1" spans="1:10">
      <c r="A55" s="107"/>
      <c r="B55" s="453" t="s">
        <v>195</v>
      </c>
      <c r="C55" s="454" t="s">
        <v>169</v>
      </c>
      <c r="D55" s="560">
        <v>23.394</v>
      </c>
      <c r="E55" s="560">
        <v>339.924364001393</v>
      </c>
      <c r="F55" s="561">
        <v>7952.19057144859</v>
      </c>
      <c r="G55" s="455">
        <v>23.394</v>
      </c>
      <c r="H55" s="425">
        <f t="shared" si="7"/>
        <v>339.924364001393</v>
      </c>
      <c r="I55" s="426">
        <f t="shared" si="6"/>
        <v>7952.19057144859</v>
      </c>
      <c r="J55" s="437">
        <f t="shared" si="5"/>
        <v>7952.19057144859</v>
      </c>
    </row>
    <row r="56" s="539" customFormat="1" ht="15.95" customHeight="1" spans="1:10">
      <c r="A56" s="107"/>
      <c r="B56" s="453" t="s">
        <v>196</v>
      </c>
      <c r="C56" s="7" t="s">
        <v>169</v>
      </c>
      <c r="D56" s="552">
        <v>79.7055</v>
      </c>
      <c r="E56" s="552">
        <v>334.4306984649</v>
      </c>
      <c r="F56" s="553">
        <v>26655.9660364941</v>
      </c>
      <c r="G56" s="455">
        <v>79.7055</v>
      </c>
      <c r="H56" s="425">
        <f t="shared" si="7"/>
        <v>334.4306984649</v>
      </c>
      <c r="I56" s="426">
        <f t="shared" si="6"/>
        <v>26655.9660364941</v>
      </c>
      <c r="J56" s="437">
        <f t="shared" si="5"/>
        <v>26655.9660364941</v>
      </c>
    </row>
    <row r="57" s="539" customFormat="1" ht="15.95" customHeight="1" spans="1:10">
      <c r="A57" s="107"/>
      <c r="B57" s="453" t="s">
        <v>197</v>
      </c>
      <c r="C57" s="7" t="s">
        <v>169</v>
      </c>
      <c r="D57" s="552">
        <v>9.66</v>
      </c>
      <c r="E57" s="552">
        <v>648.132370773425</v>
      </c>
      <c r="F57" s="553">
        <v>6260.95870167129</v>
      </c>
      <c r="G57" s="455">
        <v>9.66</v>
      </c>
      <c r="H57" s="425">
        <f t="shared" si="7"/>
        <v>648.095065697824</v>
      </c>
      <c r="I57" s="426">
        <f t="shared" si="6"/>
        <v>6260.59833464098</v>
      </c>
      <c r="J57" s="437">
        <f t="shared" si="5"/>
        <v>6260.59833464098</v>
      </c>
    </row>
    <row r="58" s="539" customFormat="1" ht="15.95" customHeight="1" spans="1:10">
      <c r="A58" s="107"/>
      <c r="B58" s="453" t="s">
        <v>198</v>
      </c>
      <c r="C58" s="454" t="s">
        <v>169</v>
      </c>
      <c r="D58" s="560">
        <v>1.89</v>
      </c>
      <c r="E58" s="560">
        <v>528.044427933793</v>
      </c>
      <c r="F58" s="561">
        <v>998.003968794869</v>
      </c>
      <c r="G58" s="455">
        <v>1.89</v>
      </c>
      <c r="H58" s="425">
        <f t="shared" si="7"/>
        <v>528.027088954994</v>
      </c>
      <c r="I58" s="426">
        <f t="shared" si="6"/>
        <v>997.971198124938</v>
      </c>
      <c r="J58" s="437">
        <f t="shared" si="5"/>
        <v>997.971198124938</v>
      </c>
    </row>
    <row r="59" s="539" customFormat="1" ht="15.95" customHeight="1" spans="1:10">
      <c r="A59" s="107"/>
      <c r="B59" s="453" t="s">
        <v>199</v>
      </c>
      <c r="C59" s="454" t="s">
        <v>200</v>
      </c>
      <c r="D59" s="560">
        <v>0.2098635</v>
      </c>
      <c r="E59" s="560">
        <v>6547.06860221045</v>
      </c>
      <c r="F59" s="561">
        <v>1373.99073159999</v>
      </c>
      <c r="G59" s="455">
        <v>0.2098635</v>
      </c>
      <c r="H59" s="425">
        <f t="shared" si="7"/>
        <v>6774.28452813344</v>
      </c>
      <c r="I59" s="426">
        <f t="shared" si="6"/>
        <v>1421.67506106993</v>
      </c>
      <c r="J59" s="437">
        <f t="shared" si="5"/>
        <v>1421.67506106993</v>
      </c>
    </row>
    <row r="60" s="539" customFormat="1" ht="24" spans="1:10">
      <c r="A60" s="107"/>
      <c r="B60" s="453" t="s">
        <v>207</v>
      </c>
      <c r="C60" s="454" t="s">
        <v>167</v>
      </c>
      <c r="D60" s="560">
        <v>9.45</v>
      </c>
      <c r="E60" s="560">
        <v>1829.50651315872</v>
      </c>
      <c r="F60" s="561">
        <v>17288.8365493499</v>
      </c>
      <c r="G60" s="455">
        <v>9.45</v>
      </c>
      <c r="H60" s="425">
        <f>单价汇总表!D54/100</f>
        <v>1829.50651315872</v>
      </c>
      <c r="I60" s="426">
        <f t="shared" si="6"/>
        <v>17288.8365493499</v>
      </c>
      <c r="J60" s="437">
        <f t="shared" si="5"/>
        <v>17288.8365493499</v>
      </c>
    </row>
    <row r="61" s="539" customFormat="1" ht="15.95" customHeight="1" spans="1:10">
      <c r="A61" s="107"/>
      <c r="B61" s="453" t="s">
        <v>202</v>
      </c>
      <c r="C61" s="7" t="s">
        <v>169</v>
      </c>
      <c r="D61" s="552">
        <v>7.56</v>
      </c>
      <c r="E61" s="552">
        <v>622.114294807315</v>
      </c>
      <c r="F61" s="553">
        <v>4703.1840687433</v>
      </c>
      <c r="G61" s="455">
        <v>7.56</v>
      </c>
      <c r="H61" s="425">
        <f>H49</f>
        <v>622.020604189982</v>
      </c>
      <c r="I61" s="426">
        <f t="shared" si="6"/>
        <v>4702.47576767627</v>
      </c>
      <c r="J61" s="437">
        <f t="shared" si="5"/>
        <v>4702.47576767627</v>
      </c>
    </row>
    <row r="62" s="539" customFormat="1" ht="15.95" customHeight="1" spans="1:10">
      <c r="A62" s="107"/>
      <c r="B62" s="453" t="s">
        <v>203</v>
      </c>
      <c r="C62" s="454" t="s">
        <v>169</v>
      </c>
      <c r="D62" s="560">
        <v>12.474</v>
      </c>
      <c r="E62" s="560">
        <v>308.036941049453</v>
      </c>
      <c r="F62" s="561">
        <v>3842.45280265088</v>
      </c>
      <c r="G62" s="455">
        <v>12.474</v>
      </c>
      <c r="H62" s="425">
        <f>H50</f>
        <v>308.036941049453</v>
      </c>
      <c r="I62" s="426">
        <f t="shared" si="6"/>
        <v>3842.45280265088</v>
      </c>
      <c r="J62" s="437">
        <f t="shared" si="5"/>
        <v>3842.45280265088</v>
      </c>
    </row>
    <row r="63" s="539" customFormat="1" ht="15.95" customHeight="1" spans="1:10">
      <c r="A63" s="107"/>
      <c r="B63" s="453" t="s">
        <v>204</v>
      </c>
      <c r="C63" s="454" t="s">
        <v>169</v>
      </c>
      <c r="D63" s="560">
        <v>19.11</v>
      </c>
      <c r="E63" s="560">
        <v>25.59447122776</v>
      </c>
      <c r="F63" s="561">
        <v>489.110345162494</v>
      </c>
      <c r="G63" s="443">
        <f>G57+G58+G61</f>
        <v>19.11</v>
      </c>
      <c r="H63" s="425">
        <f>H51</f>
        <v>25.59447122776</v>
      </c>
      <c r="I63" s="426">
        <f t="shared" si="6"/>
        <v>489.110345162494</v>
      </c>
      <c r="J63" s="437">
        <f t="shared" si="5"/>
        <v>489.110345162494</v>
      </c>
    </row>
    <row r="64" s="539" customFormat="1" ht="15.95" customHeight="1" spans="1:10">
      <c r="A64" s="107" t="s">
        <v>208</v>
      </c>
      <c r="B64" s="371" t="s">
        <v>209</v>
      </c>
      <c r="C64" s="107" t="s">
        <v>193</v>
      </c>
      <c r="D64" s="540">
        <v>1</v>
      </c>
      <c r="E64" s="540"/>
      <c r="F64" s="541">
        <v>81367.1099751423</v>
      </c>
      <c r="G64" s="443">
        <v>1</v>
      </c>
      <c r="H64" s="425"/>
      <c r="I64" s="426">
        <f>SUM(I65:I74)</f>
        <v>81388.4898809715</v>
      </c>
      <c r="J64" s="437">
        <f t="shared" si="5"/>
        <v>0</v>
      </c>
    </row>
    <row r="65" s="539" customFormat="1" ht="15.95" customHeight="1" spans="1:10">
      <c r="A65" s="107"/>
      <c r="B65" s="11" t="s">
        <v>168</v>
      </c>
      <c r="C65" s="7" t="s">
        <v>169</v>
      </c>
      <c r="D65" s="552">
        <v>339.3201</v>
      </c>
      <c r="E65" s="552">
        <v>5.79967259622126</v>
      </c>
      <c r="F65" s="553">
        <v>1967.94548531706</v>
      </c>
      <c r="G65" s="455">
        <v>339.3201</v>
      </c>
      <c r="H65" s="425">
        <f>H41</f>
        <v>5.59741698768686</v>
      </c>
      <c r="I65" s="426">
        <f t="shared" ref="I65:I74" si="8">G65*H65</f>
        <v>1899.3160920036</v>
      </c>
      <c r="J65" s="437">
        <f t="shared" ref="J65:J71" si="9">G65*H65</f>
        <v>1899.3160920036</v>
      </c>
    </row>
    <row r="66" s="539" customFormat="1" ht="15.95" customHeight="1" spans="1:10">
      <c r="A66" s="107"/>
      <c r="B66" s="11" t="s">
        <v>170</v>
      </c>
      <c r="C66" s="7" t="s">
        <v>169</v>
      </c>
      <c r="D66" s="552">
        <v>68.4474</v>
      </c>
      <c r="E66" s="552">
        <v>14.0473955850729</v>
      </c>
      <c r="F66" s="553">
        <v>961.507704569717</v>
      </c>
      <c r="G66" s="455">
        <v>68.4474</v>
      </c>
      <c r="H66" s="425">
        <f>H42</f>
        <v>13.9556177229579</v>
      </c>
      <c r="I66" s="426">
        <f t="shared" si="8"/>
        <v>955.225748530386</v>
      </c>
      <c r="J66" s="437">
        <f t="shared" si="9"/>
        <v>955.225748530386</v>
      </c>
    </row>
    <row r="67" s="539" customFormat="1" ht="15.95" customHeight="1" spans="1:10">
      <c r="A67" s="8"/>
      <c r="B67" s="11" t="s">
        <v>210</v>
      </c>
      <c r="C67" s="7" t="s">
        <v>169</v>
      </c>
      <c r="D67" s="552">
        <v>5.67</v>
      </c>
      <c r="E67" s="552">
        <v>942.823038614582</v>
      </c>
      <c r="F67" s="553">
        <v>5345.80662894468</v>
      </c>
      <c r="G67" s="455">
        <v>5.67</v>
      </c>
      <c r="H67" s="425">
        <f>单价汇总表!D121/100</f>
        <v>941.178170844581</v>
      </c>
      <c r="I67" s="426">
        <f t="shared" si="8"/>
        <v>5336.48022868878</v>
      </c>
      <c r="J67" s="437">
        <f t="shared" si="9"/>
        <v>5336.48022868878</v>
      </c>
    </row>
    <row r="68" s="539" customFormat="1" ht="15.95" customHeight="1" spans="1:10">
      <c r="A68" s="8"/>
      <c r="B68" s="11" t="s">
        <v>211</v>
      </c>
      <c r="C68" s="7" t="s">
        <v>169</v>
      </c>
      <c r="D68" s="552">
        <v>5.67</v>
      </c>
      <c r="E68" s="552">
        <v>709.494633644642</v>
      </c>
      <c r="F68" s="553">
        <v>4022.83457276512</v>
      </c>
      <c r="G68" s="455">
        <v>5.67</v>
      </c>
      <c r="H68" s="563">
        <f>新定额单价!R1349/100</f>
        <v>709.470464159042</v>
      </c>
      <c r="I68" s="426">
        <f t="shared" si="8"/>
        <v>4022.69753178177</v>
      </c>
      <c r="J68" s="437">
        <f t="shared" si="9"/>
        <v>4022.69753178177</v>
      </c>
    </row>
    <row r="69" s="539" customFormat="1" ht="15.95" customHeight="1" spans="1:10">
      <c r="A69" s="8"/>
      <c r="B69" s="11" t="s">
        <v>212</v>
      </c>
      <c r="C69" s="7" t="s">
        <v>169</v>
      </c>
      <c r="D69" s="552">
        <v>1.764</v>
      </c>
      <c r="E69" s="552">
        <v>571.969490569619</v>
      </c>
      <c r="F69" s="553">
        <v>1008.95418136481</v>
      </c>
      <c r="G69" s="455">
        <v>1.764</v>
      </c>
      <c r="H69" s="425">
        <f>单价汇总表!D108/100</f>
        <v>571.952151590819</v>
      </c>
      <c r="I69" s="426">
        <f t="shared" si="8"/>
        <v>1008.9235954062</v>
      </c>
      <c r="J69" s="437">
        <f t="shared" si="9"/>
        <v>1008.9235954062</v>
      </c>
    </row>
    <row r="70" s="539" customFormat="1" ht="15.95" customHeight="1" spans="1:10">
      <c r="A70" s="8"/>
      <c r="B70" s="11" t="s">
        <v>197</v>
      </c>
      <c r="C70" s="7" t="s">
        <v>169</v>
      </c>
      <c r="D70" s="552">
        <v>21.504</v>
      </c>
      <c r="E70" s="552">
        <v>648.132370773425</v>
      </c>
      <c r="F70" s="553">
        <v>13937.4385011117</v>
      </c>
      <c r="G70" s="455">
        <v>21.504</v>
      </c>
      <c r="H70" s="425">
        <f>H57</f>
        <v>648.095065697824</v>
      </c>
      <c r="I70" s="426">
        <f t="shared" si="8"/>
        <v>13936.636292766</v>
      </c>
      <c r="J70" s="437">
        <f t="shared" si="9"/>
        <v>13936.636292766</v>
      </c>
    </row>
    <row r="71" s="539" customFormat="1" ht="15.95" customHeight="1" spans="1:10">
      <c r="A71" s="8"/>
      <c r="B71" s="11" t="s">
        <v>195</v>
      </c>
      <c r="C71" s="7" t="s">
        <v>169</v>
      </c>
      <c r="D71" s="552">
        <v>23.394</v>
      </c>
      <c r="E71" s="552">
        <v>339.924364001393</v>
      </c>
      <c r="F71" s="553">
        <v>7952.19057144859</v>
      </c>
      <c r="G71" s="455">
        <v>23.394</v>
      </c>
      <c r="H71" s="425">
        <f>H55</f>
        <v>339.924364001393</v>
      </c>
      <c r="I71" s="426">
        <f t="shared" si="8"/>
        <v>7952.19057144859</v>
      </c>
      <c r="J71" s="437">
        <f t="shared" si="9"/>
        <v>7952.19057144859</v>
      </c>
    </row>
    <row r="72" s="539" customFormat="1" ht="15.95" customHeight="1" spans="1:10">
      <c r="A72" s="8"/>
      <c r="B72" s="11" t="s">
        <v>213</v>
      </c>
      <c r="C72" s="7" t="s">
        <v>169</v>
      </c>
      <c r="D72" s="552">
        <v>126.2247</v>
      </c>
      <c r="E72" s="552">
        <v>334.4306984649</v>
      </c>
      <c r="F72" s="553">
        <v>42213.4145845225</v>
      </c>
      <c r="G72" s="455">
        <v>126.2247</v>
      </c>
      <c r="H72" s="425">
        <f>H44</f>
        <v>334.4306984649</v>
      </c>
      <c r="I72" s="426">
        <f t="shared" si="8"/>
        <v>42213.4145845225</v>
      </c>
      <c r="J72" s="437">
        <f t="shared" ref="J72:J95" si="10">G72*H72</f>
        <v>42213.4145845225</v>
      </c>
    </row>
    <row r="73" s="539" customFormat="1" ht="15.95" customHeight="1" spans="1:10">
      <c r="A73" s="8"/>
      <c r="B73" s="11" t="s">
        <v>214</v>
      </c>
      <c r="C73" s="7" t="s">
        <v>200</v>
      </c>
      <c r="D73" s="552">
        <v>0.4691022</v>
      </c>
      <c r="E73" s="552">
        <v>6547.06860221045</v>
      </c>
      <c r="F73" s="553">
        <v>3071.24428484785</v>
      </c>
      <c r="G73" s="455">
        <v>0.4691022</v>
      </c>
      <c r="H73" s="425">
        <f>H47</f>
        <v>6774.28452813344</v>
      </c>
      <c r="I73" s="426">
        <f t="shared" si="8"/>
        <v>3177.83177557336</v>
      </c>
      <c r="J73" s="437">
        <f t="shared" si="10"/>
        <v>3177.83177557336</v>
      </c>
    </row>
    <row r="74" s="539" customFormat="1" ht="15.95" customHeight="1" spans="1:10">
      <c r="A74" s="107"/>
      <c r="B74" s="453" t="s">
        <v>204</v>
      </c>
      <c r="C74" s="454" t="s">
        <v>169</v>
      </c>
      <c r="D74" s="560">
        <v>34.608</v>
      </c>
      <c r="E74" s="560">
        <v>25.59447122776</v>
      </c>
      <c r="F74" s="561">
        <v>885.773460250318</v>
      </c>
      <c r="G74" s="443">
        <f>G67+G68+G69+G70</f>
        <v>34.608</v>
      </c>
      <c r="H74" s="425">
        <f>H51</f>
        <v>25.59447122776</v>
      </c>
      <c r="I74" s="426">
        <f t="shared" si="8"/>
        <v>885.773460250318</v>
      </c>
      <c r="J74" s="437">
        <f t="shared" si="10"/>
        <v>885.773460250318</v>
      </c>
    </row>
    <row r="75" s="539" customFormat="1" ht="15.95" customHeight="1" spans="1:10">
      <c r="A75" s="107" t="s">
        <v>215</v>
      </c>
      <c r="B75" s="371" t="s">
        <v>216</v>
      </c>
      <c r="C75" s="107"/>
      <c r="D75" s="540"/>
      <c r="E75" s="540"/>
      <c r="F75" s="541">
        <v>509391.077320363</v>
      </c>
      <c r="G75" s="443"/>
      <c r="H75" s="425"/>
      <c r="I75" s="426">
        <f>I76+I86</f>
        <v>509255.940137028</v>
      </c>
      <c r="J75" s="437">
        <f t="shared" si="10"/>
        <v>0</v>
      </c>
    </row>
    <row r="76" s="539" customFormat="1" ht="15.95" customHeight="1" spans="1:10">
      <c r="A76" s="107" t="s">
        <v>217</v>
      </c>
      <c r="B76" s="371" t="s">
        <v>218</v>
      </c>
      <c r="C76" s="107" t="s">
        <v>193</v>
      </c>
      <c r="D76" s="540">
        <v>16</v>
      </c>
      <c r="E76" s="540"/>
      <c r="F76" s="541">
        <v>386681.301534496</v>
      </c>
      <c r="G76" s="455">
        <v>16</v>
      </c>
      <c r="H76" s="425"/>
      <c r="I76" s="426">
        <f>SUM(I77:I85)</f>
        <v>386480.164935281</v>
      </c>
      <c r="J76" s="437">
        <f t="shared" si="10"/>
        <v>0</v>
      </c>
    </row>
    <row r="77" s="539" customFormat="1" ht="15.95" customHeight="1" spans="1:10">
      <c r="A77" s="107"/>
      <c r="B77" s="11" t="s">
        <v>168</v>
      </c>
      <c r="C77" s="7" t="s">
        <v>169</v>
      </c>
      <c r="D77" s="552">
        <v>354.375</v>
      </c>
      <c r="E77" s="552">
        <v>5.79967259622126</v>
      </c>
      <c r="F77" s="553">
        <v>2055.25897628591</v>
      </c>
      <c r="G77" s="455">
        <v>354.375</v>
      </c>
      <c r="H77" s="425">
        <f>H65</f>
        <v>5.59741698768686</v>
      </c>
      <c r="I77" s="426">
        <f t="shared" ref="I77:I85" si="11">G77*H77</f>
        <v>1983.58464501153</v>
      </c>
      <c r="J77" s="437">
        <f t="shared" si="10"/>
        <v>1983.58464501153</v>
      </c>
    </row>
    <row r="78" s="539" customFormat="1" ht="15.95" customHeight="1" spans="1:10">
      <c r="A78" s="107"/>
      <c r="B78" s="11" t="s">
        <v>194</v>
      </c>
      <c r="C78" s="7" t="s">
        <v>169</v>
      </c>
      <c r="D78" s="552">
        <v>176.526</v>
      </c>
      <c r="E78" s="552">
        <v>14.0473955850729</v>
      </c>
      <c r="F78" s="553">
        <v>2479.73055305057</v>
      </c>
      <c r="G78" s="455">
        <v>176.526</v>
      </c>
      <c r="H78" s="425">
        <f>H66</f>
        <v>13.9556177229579</v>
      </c>
      <c r="I78" s="426">
        <f t="shared" si="11"/>
        <v>2463.52937416286</v>
      </c>
      <c r="J78" s="437">
        <f t="shared" si="10"/>
        <v>2463.52937416286</v>
      </c>
    </row>
    <row r="79" s="539" customFormat="1" ht="15.95" customHeight="1" spans="1:10">
      <c r="A79" s="107"/>
      <c r="B79" s="11" t="s">
        <v>219</v>
      </c>
      <c r="C79" s="7" t="s">
        <v>169</v>
      </c>
      <c r="D79" s="552">
        <v>389.76</v>
      </c>
      <c r="E79" s="552">
        <v>40.9282086250151</v>
      </c>
      <c r="F79" s="553">
        <v>15952.1785936859</v>
      </c>
      <c r="G79" s="455">
        <v>389.76</v>
      </c>
      <c r="H79" s="564">
        <f>单价汇总表!D126/100+单价汇总表!D26/100</f>
        <v>39.603581599335</v>
      </c>
      <c r="I79" s="426">
        <f t="shared" si="11"/>
        <v>15435.8919641568</v>
      </c>
      <c r="J79" s="437">
        <f t="shared" si="10"/>
        <v>15435.8919641568</v>
      </c>
    </row>
    <row r="80" s="539" customFormat="1" ht="15.95" customHeight="1" spans="1:10">
      <c r="A80" s="107"/>
      <c r="B80" s="11" t="s">
        <v>195</v>
      </c>
      <c r="C80" s="7" t="s">
        <v>169</v>
      </c>
      <c r="D80" s="552">
        <v>374.304</v>
      </c>
      <c r="E80" s="552">
        <v>339.924364001393</v>
      </c>
      <c r="F80" s="553">
        <v>127235.049143177</v>
      </c>
      <c r="G80" s="455">
        <v>374.304</v>
      </c>
      <c r="H80" s="425">
        <f>单价汇总表!D39/100</f>
        <v>339.924364001393</v>
      </c>
      <c r="I80" s="426">
        <f t="shared" si="11"/>
        <v>127235.049143177</v>
      </c>
      <c r="J80" s="437">
        <f t="shared" si="10"/>
        <v>127235.049143177</v>
      </c>
    </row>
    <row r="81" s="539" customFormat="1" ht="15.95" customHeight="1" spans="1:10">
      <c r="A81" s="107"/>
      <c r="B81" s="11" t="s">
        <v>213</v>
      </c>
      <c r="C81" s="7" t="s">
        <v>169</v>
      </c>
      <c r="D81" s="552">
        <v>487.2</v>
      </c>
      <c r="E81" s="552">
        <v>334.4306984649</v>
      </c>
      <c r="F81" s="553">
        <v>162934.636292099</v>
      </c>
      <c r="G81" s="455">
        <v>487.2</v>
      </c>
      <c r="H81" s="425">
        <f>单价汇总表!D42/100</f>
        <v>334.4306984649</v>
      </c>
      <c r="I81" s="426">
        <f t="shared" si="11"/>
        <v>162934.636292099</v>
      </c>
      <c r="J81" s="437">
        <f t="shared" si="10"/>
        <v>162934.636292099</v>
      </c>
    </row>
    <row r="82" s="539" customFormat="1" ht="15.95" customHeight="1" spans="1:10">
      <c r="A82" s="107"/>
      <c r="B82" s="11" t="s">
        <v>197</v>
      </c>
      <c r="C82" s="7" t="s">
        <v>169</v>
      </c>
      <c r="D82" s="552">
        <v>82.32</v>
      </c>
      <c r="E82" s="552">
        <v>648.132370773425</v>
      </c>
      <c r="F82" s="553">
        <v>53354.2567620683</v>
      </c>
      <c r="G82" s="455">
        <v>82.32</v>
      </c>
      <c r="H82" s="425">
        <f>H70</f>
        <v>648.095065697824</v>
      </c>
      <c r="I82" s="426">
        <f t="shared" si="11"/>
        <v>53351.1858082449</v>
      </c>
      <c r="J82" s="437">
        <f t="shared" si="10"/>
        <v>53351.1858082449</v>
      </c>
    </row>
    <row r="83" s="539" customFormat="1" ht="15.95" customHeight="1" spans="1:10">
      <c r="A83" s="107"/>
      <c r="B83" s="11" t="s">
        <v>220</v>
      </c>
      <c r="C83" s="7" t="s">
        <v>169</v>
      </c>
      <c r="D83" s="552">
        <v>14.8176</v>
      </c>
      <c r="E83" s="552">
        <v>571.969490569619</v>
      </c>
      <c r="F83" s="553">
        <v>8475.21512346439</v>
      </c>
      <c r="G83" s="455">
        <v>14.8176</v>
      </c>
      <c r="H83" s="425">
        <f>单价汇总表!D108/100</f>
        <v>571.952151590819</v>
      </c>
      <c r="I83" s="426">
        <f t="shared" si="11"/>
        <v>8474.95820141212</v>
      </c>
      <c r="J83" s="437">
        <f t="shared" si="10"/>
        <v>8474.95820141212</v>
      </c>
    </row>
    <row r="84" s="539" customFormat="1" ht="15.95" customHeight="1" spans="1:10">
      <c r="A84" s="107"/>
      <c r="B84" s="11" t="s">
        <v>199</v>
      </c>
      <c r="C84" s="459" t="s">
        <v>200</v>
      </c>
      <c r="D84" s="555">
        <v>1.788402</v>
      </c>
      <c r="E84" s="555">
        <v>6547.06860221045</v>
      </c>
      <c r="F84" s="556">
        <v>11708.7905823304</v>
      </c>
      <c r="G84" s="455">
        <v>1.788402</v>
      </c>
      <c r="H84" s="425">
        <f>H73</f>
        <v>6774.28452813344</v>
      </c>
      <c r="I84" s="426">
        <f t="shared" si="11"/>
        <v>12115.1439986829</v>
      </c>
      <c r="J84" s="437">
        <f t="shared" si="10"/>
        <v>12115.1439986829</v>
      </c>
    </row>
    <row r="85" s="539" customFormat="1" ht="15.95" customHeight="1" spans="1:10">
      <c r="A85" s="107"/>
      <c r="B85" s="453" t="s">
        <v>204</v>
      </c>
      <c r="C85" s="454" t="s">
        <v>169</v>
      </c>
      <c r="D85" s="560">
        <v>97.1376</v>
      </c>
      <c r="E85" s="560">
        <v>25.59447122776</v>
      </c>
      <c r="F85" s="561">
        <v>2486.18550833366</v>
      </c>
      <c r="G85" s="443">
        <f>G82+G83</f>
        <v>97.1376</v>
      </c>
      <c r="H85" s="425">
        <f>H74</f>
        <v>25.59447122776</v>
      </c>
      <c r="I85" s="426">
        <f t="shared" si="11"/>
        <v>2486.18550833366</v>
      </c>
      <c r="J85" s="437">
        <f t="shared" si="10"/>
        <v>2486.18550833366</v>
      </c>
    </row>
    <row r="86" s="539" customFormat="1" ht="15.95" customHeight="1" spans="1:10">
      <c r="A86" s="107" t="s">
        <v>221</v>
      </c>
      <c r="B86" s="371" t="s">
        <v>222</v>
      </c>
      <c r="C86" s="107" t="s">
        <v>193</v>
      </c>
      <c r="D86" s="540">
        <v>3</v>
      </c>
      <c r="E86" s="540"/>
      <c r="F86" s="541">
        <v>122709.775785868</v>
      </c>
      <c r="G86" s="443">
        <v>3</v>
      </c>
      <c r="H86" s="425"/>
      <c r="I86" s="426">
        <f>SUM(I87:I95)</f>
        <v>122775.775201747</v>
      </c>
      <c r="J86" s="437">
        <f t="shared" si="10"/>
        <v>0</v>
      </c>
    </row>
    <row r="87" s="539" customFormat="1" ht="15.95" customHeight="1" spans="1:10">
      <c r="A87" s="107"/>
      <c r="B87" s="11" t="s">
        <v>168</v>
      </c>
      <c r="C87" s="7" t="s">
        <v>169</v>
      </c>
      <c r="D87" s="552">
        <v>84.830025</v>
      </c>
      <c r="E87" s="552">
        <v>5.79967259622126</v>
      </c>
      <c r="F87" s="553">
        <v>491.986371329264</v>
      </c>
      <c r="G87" s="455">
        <v>84.830025</v>
      </c>
      <c r="H87" s="425">
        <f>H77</f>
        <v>5.59741698768686</v>
      </c>
      <c r="I87" s="426">
        <f t="shared" ref="I87:I95" si="12">G87*H87</f>
        <v>474.829023000901</v>
      </c>
      <c r="J87" s="437">
        <f t="shared" si="10"/>
        <v>474.829023000901</v>
      </c>
    </row>
    <row r="88" s="539" customFormat="1" ht="15.95" customHeight="1" spans="1:10">
      <c r="A88" s="107"/>
      <c r="B88" s="11" t="s">
        <v>170</v>
      </c>
      <c r="C88" s="7" t="s">
        <v>169</v>
      </c>
      <c r="D88" s="552">
        <v>25.667775</v>
      </c>
      <c r="E88" s="552">
        <v>14.0473955850729</v>
      </c>
      <c r="F88" s="553">
        <v>360.565389213644</v>
      </c>
      <c r="G88" s="455">
        <v>25.667775</v>
      </c>
      <c r="H88" s="425">
        <f>H78</f>
        <v>13.9556177229579</v>
      </c>
      <c r="I88" s="426">
        <f t="shared" si="12"/>
        <v>358.209655698895</v>
      </c>
      <c r="J88" s="437">
        <f t="shared" si="10"/>
        <v>358.209655698895</v>
      </c>
    </row>
    <row r="89" s="539" customFormat="1" ht="15.95" customHeight="1" spans="1:10">
      <c r="A89" s="107"/>
      <c r="B89" s="11" t="s">
        <v>219</v>
      </c>
      <c r="C89" s="7" t="s">
        <v>169</v>
      </c>
      <c r="D89" s="552">
        <v>118.0368</v>
      </c>
      <c r="E89" s="552">
        <v>40.9282086250151</v>
      </c>
      <c r="F89" s="553">
        <v>4831.03477582918</v>
      </c>
      <c r="G89" s="455">
        <v>118.0368</v>
      </c>
      <c r="H89" s="425">
        <f>H79</f>
        <v>39.603581599335</v>
      </c>
      <c r="I89" s="426">
        <f t="shared" si="12"/>
        <v>4674.68004052439</v>
      </c>
      <c r="J89" s="437">
        <f t="shared" si="10"/>
        <v>4674.68004052439</v>
      </c>
    </row>
    <row r="90" s="539" customFormat="1" ht="15.95" customHeight="1" spans="1:10">
      <c r="A90" s="8"/>
      <c r="B90" s="11" t="s">
        <v>223</v>
      </c>
      <c r="C90" s="7" t="s">
        <v>169</v>
      </c>
      <c r="D90" s="552">
        <v>5.8968</v>
      </c>
      <c r="E90" s="552">
        <v>571.969490569619</v>
      </c>
      <c r="F90" s="553">
        <v>3372.78969199093</v>
      </c>
      <c r="G90" s="455">
        <v>5.8968</v>
      </c>
      <c r="H90" s="425">
        <f>H83</f>
        <v>571.952151590819</v>
      </c>
      <c r="I90" s="426">
        <f t="shared" si="12"/>
        <v>3372.68744750074</v>
      </c>
      <c r="J90" s="437">
        <f t="shared" si="10"/>
        <v>3372.68744750074</v>
      </c>
    </row>
    <row r="91" s="539" customFormat="1" ht="15.95" customHeight="1" spans="1:10">
      <c r="A91" s="8"/>
      <c r="B91" s="460" t="s">
        <v>197</v>
      </c>
      <c r="C91" s="7" t="s">
        <v>169</v>
      </c>
      <c r="D91" s="552">
        <v>49.392</v>
      </c>
      <c r="E91" s="552">
        <v>648.132370773425</v>
      </c>
      <c r="F91" s="553">
        <v>32012.554057241</v>
      </c>
      <c r="G91" s="455">
        <v>49.392</v>
      </c>
      <c r="H91" s="425">
        <f>H82</f>
        <v>648.095065697824</v>
      </c>
      <c r="I91" s="426">
        <f t="shared" si="12"/>
        <v>32010.7114849469</v>
      </c>
      <c r="J91" s="437">
        <f t="shared" si="10"/>
        <v>32010.7114849469</v>
      </c>
    </row>
    <row r="92" s="539" customFormat="1" ht="15.95" customHeight="1" spans="1:10">
      <c r="A92" s="8"/>
      <c r="B92" s="461" t="s">
        <v>195</v>
      </c>
      <c r="C92" s="7" t="s">
        <v>169</v>
      </c>
      <c r="D92" s="552">
        <v>70.182</v>
      </c>
      <c r="E92" s="552">
        <v>339.924364001393</v>
      </c>
      <c r="F92" s="553">
        <v>23856.5717143458</v>
      </c>
      <c r="G92" s="455">
        <v>70.182</v>
      </c>
      <c r="H92" s="425">
        <f>H80</f>
        <v>339.924364001393</v>
      </c>
      <c r="I92" s="426">
        <f t="shared" si="12"/>
        <v>23856.5717143458</v>
      </c>
      <c r="J92" s="437">
        <f t="shared" si="10"/>
        <v>23856.5717143458</v>
      </c>
    </row>
    <row r="93" s="539" customFormat="1" ht="15.95" customHeight="1" spans="1:10">
      <c r="A93" s="8"/>
      <c r="B93" s="11" t="s">
        <v>213</v>
      </c>
      <c r="C93" s="7" t="s">
        <v>169</v>
      </c>
      <c r="D93" s="552">
        <v>147.546</v>
      </c>
      <c r="E93" s="552">
        <v>334.4306984649</v>
      </c>
      <c r="F93" s="553">
        <v>49343.9118357021</v>
      </c>
      <c r="G93" s="455">
        <v>147.546</v>
      </c>
      <c r="H93" s="425">
        <f>H81</f>
        <v>334.4306984649</v>
      </c>
      <c r="I93" s="426">
        <f t="shared" si="12"/>
        <v>49343.9118357021</v>
      </c>
      <c r="J93" s="437">
        <f t="shared" si="10"/>
        <v>49343.9118357021</v>
      </c>
    </row>
    <row r="94" s="539" customFormat="1" ht="15.95" customHeight="1" spans="1:10">
      <c r="A94" s="8"/>
      <c r="B94" s="11" t="s">
        <v>214</v>
      </c>
      <c r="C94" s="7" t="s">
        <v>200</v>
      </c>
      <c r="D94" s="552">
        <v>1.0730412</v>
      </c>
      <c r="E94" s="552">
        <v>6547.06860221045</v>
      </c>
      <c r="F94" s="553">
        <v>7025.27434939822</v>
      </c>
      <c r="G94" s="455">
        <v>1.0730412</v>
      </c>
      <c r="H94" s="425">
        <f>H84</f>
        <v>6774.28452813344</v>
      </c>
      <c r="I94" s="426">
        <f t="shared" si="12"/>
        <v>7269.08639920974</v>
      </c>
      <c r="J94" s="437">
        <f t="shared" si="10"/>
        <v>7269.08639920974</v>
      </c>
    </row>
    <row r="95" s="539" customFormat="1" ht="15.95" customHeight="1" spans="1:10">
      <c r="A95" s="8"/>
      <c r="B95" s="453" t="s">
        <v>204</v>
      </c>
      <c r="C95" s="454" t="s">
        <v>169</v>
      </c>
      <c r="D95" s="560">
        <v>55.2888</v>
      </c>
      <c r="E95" s="560">
        <v>25.59447122776</v>
      </c>
      <c r="F95" s="561">
        <v>1415.08760081738</v>
      </c>
      <c r="G95" s="443">
        <f>G90+G91</f>
        <v>55.2888</v>
      </c>
      <c r="H95" s="425">
        <f>H85</f>
        <v>25.59447122776</v>
      </c>
      <c r="I95" s="426">
        <f t="shared" si="12"/>
        <v>1415.08760081738</v>
      </c>
      <c r="J95" s="437">
        <f t="shared" si="10"/>
        <v>1415.08760081738</v>
      </c>
    </row>
    <row r="96" s="539" customFormat="1" ht="15.95" customHeight="1" spans="1:10">
      <c r="A96" s="7" t="s">
        <v>224</v>
      </c>
      <c r="B96" s="371" t="s">
        <v>225</v>
      </c>
      <c r="C96" s="107" t="s">
        <v>193</v>
      </c>
      <c r="D96" s="540">
        <v>23</v>
      </c>
      <c r="E96" s="540"/>
      <c r="F96" s="541">
        <v>233370.026327115</v>
      </c>
      <c r="G96" s="443">
        <v>23</v>
      </c>
      <c r="H96" s="425"/>
      <c r="I96" s="426">
        <f>SUM(I97:I102)</f>
        <v>233650.273073514</v>
      </c>
      <c r="J96" s="437">
        <f t="shared" ref="J96:J121" si="13">G96*H96</f>
        <v>0</v>
      </c>
    </row>
    <row r="97" s="539" customFormat="1" ht="15.95" customHeight="1" spans="1:10">
      <c r="A97" s="8"/>
      <c r="B97" s="11" t="s">
        <v>168</v>
      </c>
      <c r="C97" s="7" t="s">
        <v>169</v>
      </c>
      <c r="D97" s="552">
        <v>379.31</v>
      </c>
      <c r="E97" s="552">
        <v>5.79967259622126</v>
      </c>
      <c r="F97" s="553">
        <v>2199.87381247269</v>
      </c>
      <c r="G97" s="443">
        <v>379.31</v>
      </c>
      <c r="H97" s="425">
        <f>H87</f>
        <v>5.59741698768686</v>
      </c>
      <c r="I97" s="426">
        <f t="shared" ref="I97:I102" si="14">G97*H97</f>
        <v>2123.1562375995</v>
      </c>
      <c r="J97" s="437">
        <f t="shared" si="13"/>
        <v>2123.1562375995</v>
      </c>
    </row>
    <row r="98" s="539" customFormat="1" ht="15.95" customHeight="1" spans="1:10">
      <c r="A98" s="8"/>
      <c r="B98" s="11" t="s">
        <v>170</v>
      </c>
      <c r="C98" s="7" t="s">
        <v>169</v>
      </c>
      <c r="D98" s="552">
        <v>211.19</v>
      </c>
      <c r="E98" s="552">
        <v>14.0473955850729</v>
      </c>
      <c r="F98" s="553">
        <v>2966.66947361154</v>
      </c>
      <c r="G98" s="443">
        <v>211.19</v>
      </c>
      <c r="H98" s="425">
        <f>H88</f>
        <v>13.9556177229579</v>
      </c>
      <c r="I98" s="426">
        <f t="shared" si="14"/>
        <v>2947.28690691147</v>
      </c>
      <c r="J98" s="437">
        <f t="shared" si="13"/>
        <v>2947.28690691147</v>
      </c>
    </row>
    <row r="99" s="539" customFormat="1" ht="15.95" customHeight="1" spans="1:10">
      <c r="A99" s="8"/>
      <c r="B99" s="11" t="s">
        <v>219</v>
      </c>
      <c r="C99" s="7" t="s">
        <v>169</v>
      </c>
      <c r="D99" s="552">
        <v>216.38</v>
      </c>
      <c r="E99" s="552">
        <v>40.9282086250151</v>
      </c>
      <c r="F99" s="553">
        <v>8856.04578228077</v>
      </c>
      <c r="G99" s="443">
        <v>216.38</v>
      </c>
      <c r="H99" s="425">
        <f>H89</f>
        <v>39.603581599335</v>
      </c>
      <c r="I99" s="426">
        <f t="shared" si="14"/>
        <v>8569.42298646412</v>
      </c>
      <c r="J99" s="437">
        <f t="shared" si="13"/>
        <v>8569.42298646412</v>
      </c>
    </row>
    <row r="100" s="539" customFormat="1" ht="15.95" customHeight="1" spans="1:10">
      <c r="A100" s="8"/>
      <c r="B100" s="11" t="s">
        <v>226</v>
      </c>
      <c r="C100" s="7" t="s">
        <v>169</v>
      </c>
      <c r="D100" s="552">
        <v>336.23</v>
      </c>
      <c r="E100" s="552">
        <v>334.4306984649</v>
      </c>
      <c r="F100" s="553">
        <v>112445.633744853</v>
      </c>
      <c r="G100" s="443">
        <v>336.23</v>
      </c>
      <c r="H100" s="425">
        <f>H93</f>
        <v>334.4306984649</v>
      </c>
      <c r="I100" s="426">
        <f t="shared" si="14"/>
        <v>112445.633744853</v>
      </c>
      <c r="J100" s="437">
        <f t="shared" si="13"/>
        <v>112445.633744853</v>
      </c>
    </row>
    <row r="101" s="539" customFormat="1" ht="15.95" customHeight="1" spans="1:10">
      <c r="A101" s="8"/>
      <c r="B101" s="11" t="s">
        <v>227</v>
      </c>
      <c r="C101" s="7" t="s">
        <v>169</v>
      </c>
      <c r="D101" s="552">
        <v>135.24</v>
      </c>
      <c r="E101" s="552">
        <v>648.132370773425</v>
      </c>
      <c r="F101" s="553">
        <v>87653.421823398</v>
      </c>
      <c r="G101" s="443">
        <v>135.24</v>
      </c>
      <c r="H101" s="425">
        <f>H91</f>
        <v>648.095065697824</v>
      </c>
      <c r="I101" s="426">
        <f t="shared" si="14"/>
        <v>87648.3766849737</v>
      </c>
      <c r="J101" s="437">
        <f t="shared" si="13"/>
        <v>87648.3766849737</v>
      </c>
    </row>
    <row r="102" s="539" customFormat="1" ht="15.95" customHeight="1" spans="1:10">
      <c r="A102" s="8"/>
      <c r="B102" s="11" t="s">
        <v>199</v>
      </c>
      <c r="C102" s="459" t="s">
        <v>200</v>
      </c>
      <c r="D102" s="555">
        <v>2.94</v>
      </c>
      <c r="E102" s="555">
        <v>6547.06860221045</v>
      </c>
      <c r="F102" s="556">
        <v>19248.3816904987</v>
      </c>
      <c r="G102" s="443">
        <v>2.94</v>
      </c>
      <c r="H102" s="425">
        <f>H94</f>
        <v>6774.28452813344</v>
      </c>
      <c r="I102" s="426">
        <f t="shared" si="14"/>
        <v>19916.3965127123</v>
      </c>
      <c r="J102" s="437">
        <f t="shared" si="13"/>
        <v>19916.3965127123</v>
      </c>
    </row>
    <row r="103" s="539" customFormat="1" ht="15.95" customHeight="1" spans="1:10">
      <c r="A103" s="432" t="s">
        <v>46</v>
      </c>
      <c r="B103" s="433" t="s">
        <v>228</v>
      </c>
      <c r="C103" s="432" t="s">
        <v>229</v>
      </c>
      <c r="D103" s="542">
        <v>32</v>
      </c>
      <c r="E103" s="542"/>
      <c r="F103" s="543">
        <v>3175688.48786813</v>
      </c>
      <c r="G103" s="463">
        <v>32</v>
      </c>
      <c r="H103" s="464"/>
      <c r="I103" s="434">
        <f>I104</f>
        <v>3074796.566765</v>
      </c>
      <c r="J103" s="437">
        <f t="shared" si="13"/>
        <v>0</v>
      </c>
    </row>
    <row r="104" ht="15.95" customHeight="1" spans="1:16347">
      <c r="A104" s="546"/>
      <c r="B104" s="565" t="s">
        <v>230</v>
      </c>
      <c r="C104" s="546" t="s">
        <v>169</v>
      </c>
      <c r="D104" s="566">
        <v>115755.86</v>
      </c>
      <c r="E104" s="566">
        <v>27.4343647731366</v>
      </c>
      <c r="F104" s="567">
        <v>3175688.48786813</v>
      </c>
      <c r="G104" s="568">
        <v>115755.86</v>
      </c>
      <c r="H104" s="551">
        <f>新定额单价!$F$339/100+0.77*1.55*5*1.09</f>
        <v>26.5627724312618</v>
      </c>
      <c r="I104" s="562">
        <f>G104*H104</f>
        <v>3074796.566765</v>
      </c>
      <c r="J104" s="437">
        <f t="shared" si="13"/>
        <v>3074796.566765</v>
      </c>
      <c r="XDO104" s="539"/>
      <c r="XDP104" s="539"/>
      <c r="XDQ104" s="539"/>
      <c r="XDR104" s="539"/>
      <c r="XDS104" s="539"/>
    </row>
    <row r="105" s="539" customFormat="1" ht="15.95" customHeight="1" spans="1:10">
      <c r="A105" s="432" t="s">
        <v>83</v>
      </c>
      <c r="B105" s="433" t="s">
        <v>231</v>
      </c>
      <c r="C105" s="432"/>
      <c r="D105" s="542"/>
      <c r="E105" s="542"/>
      <c r="F105" s="543">
        <v>7031859.93276143</v>
      </c>
      <c r="G105" s="463"/>
      <c r="H105" s="464"/>
      <c r="I105" s="434">
        <f>I106+I114+I118</f>
        <v>6816412.73243802</v>
      </c>
      <c r="J105" s="437">
        <f t="shared" si="13"/>
        <v>0</v>
      </c>
    </row>
    <row r="106" s="539" customFormat="1" ht="15.95" customHeight="1" spans="1:10">
      <c r="A106" s="107">
        <v>1</v>
      </c>
      <c r="B106" s="371" t="s">
        <v>232</v>
      </c>
      <c r="C106" s="107"/>
      <c r="D106" s="540"/>
      <c r="E106" s="540"/>
      <c r="F106" s="541">
        <v>4057706.57927505</v>
      </c>
      <c r="G106" s="443"/>
      <c r="H106" s="425"/>
      <c r="I106" s="426">
        <f>I107+I110+I112</f>
        <v>3930088.9043375</v>
      </c>
      <c r="J106" s="437">
        <f t="shared" si="13"/>
        <v>0</v>
      </c>
    </row>
    <row r="107" s="539" customFormat="1" ht="15.95" customHeight="1" spans="1:10">
      <c r="A107" s="107">
        <v>1.1</v>
      </c>
      <c r="B107" s="371" t="s">
        <v>233</v>
      </c>
      <c r="C107" s="107"/>
      <c r="D107" s="540"/>
      <c r="E107" s="540"/>
      <c r="F107" s="541">
        <v>1162447.34260682</v>
      </c>
      <c r="G107" s="443"/>
      <c r="H107" s="425"/>
      <c r="I107" s="426">
        <f>I108+I109</f>
        <v>1034829.66766927</v>
      </c>
      <c r="J107" s="437">
        <f t="shared" si="13"/>
        <v>0</v>
      </c>
    </row>
    <row r="108" s="539" customFormat="1" ht="15.95" customHeight="1" spans="1:10">
      <c r="A108" s="107"/>
      <c r="B108" s="371" t="s">
        <v>234</v>
      </c>
      <c r="C108" s="7" t="s">
        <v>169</v>
      </c>
      <c r="D108" s="552">
        <v>74305.35</v>
      </c>
      <c r="E108" s="552">
        <v>4.50017232297341</v>
      </c>
      <c r="F108" s="553">
        <v>334386.879518852</v>
      </c>
      <c r="G108" s="443">
        <f>G111*0.3</f>
        <v>74305.35</v>
      </c>
      <c r="H108" s="425">
        <f>单价汇总表!D11/100</f>
        <v>4.34148945589341</v>
      </c>
      <c r="I108" s="426">
        <f>G108*H108</f>
        <v>322595.89354147</v>
      </c>
      <c r="J108" s="437">
        <f t="shared" si="13"/>
        <v>322595.89354147</v>
      </c>
    </row>
    <row r="109" s="539" customFormat="1" ht="15.95" customHeight="1" spans="1:10">
      <c r="A109" s="546"/>
      <c r="B109" s="565" t="s">
        <v>235</v>
      </c>
      <c r="C109" s="569" t="s">
        <v>169</v>
      </c>
      <c r="D109" s="570">
        <v>24768.45</v>
      </c>
      <c r="E109" s="570">
        <v>33.4320663217911</v>
      </c>
      <c r="F109" s="571">
        <v>828060.463087967</v>
      </c>
      <c r="G109" s="568">
        <f>G111*0.1</f>
        <v>24768.45</v>
      </c>
      <c r="H109" s="551">
        <f>新定额单价!F60/100+单价汇总表!D25/100+(10-5)*1.55*0.77*1.09</f>
        <v>28.7556861300485</v>
      </c>
      <c r="I109" s="562">
        <f>G109*H109</f>
        <v>712233.7741278</v>
      </c>
      <c r="J109" s="437">
        <f t="shared" si="13"/>
        <v>712233.7741278</v>
      </c>
    </row>
    <row r="110" s="539" customFormat="1" ht="15.95" customHeight="1" spans="1:10">
      <c r="A110" s="107">
        <v>1.2</v>
      </c>
      <c r="B110" s="371" t="s">
        <v>236</v>
      </c>
      <c r="C110" s="7"/>
      <c r="D110" s="552"/>
      <c r="E110" s="552"/>
      <c r="F110" s="553">
        <v>565530.195650347</v>
      </c>
      <c r="G110" s="443"/>
      <c r="H110" s="425"/>
      <c r="I110" s="426">
        <f>SUM(I111:I111)</f>
        <v>565530.195650347</v>
      </c>
      <c r="J110" s="437">
        <f t="shared" si="13"/>
        <v>0</v>
      </c>
    </row>
    <row r="111" s="539" customFormat="1" ht="15.95" customHeight="1" spans="1:10">
      <c r="A111" s="107"/>
      <c r="B111" s="371" t="s">
        <v>237</v>
      </c>
      <c r="C111" s="7" t="s">
        <v>175</v>
      </c>
      <c r="D111" s="552">
        <v>247684.5</v>
      </c>
      <c r="E111" s="552">
        <v>2.28326841465795</v>
      </c>
      <c r="F111" s="553">
        <v>565530.195650347</v>
      </c>
      <c r="G111" s="443">
        <f>235890*1.05</f>
        <v>247684.5</v>
      </c>
      <c r="H111" s="425">
        <f>新定额单价!F5432/100</f>
        <v>2.28326841465795</v>
      </c>
      <c r="I111" s="426">
        <f t="shared" ref="I111:I117" si="15">G111*H111</f>
        <v>565530.195650347</v>
      </c>
      <c r="J111" s="437">
        <f t="shared" si="13"/>
        <v>565530.195650347</v>
      </c>
    </row>
    <row r="112" s="539" customFormat="1" ht="15.95" customHeight="1" spans="1:10">
      <c r="A112" s="107">
        <v>1.3</v>
      </c>
      <c r="B112" s="371" t="s">
        <v>238</v>
      </c>
      <c r="C112" s="7"/>
      <c r="D112" s="552"/>
      <c r="E112" s="552"/>
      <c r="F112" s="553">
        <v>2329729.04101788</v>
      </c>
      <c r="G112" s="443"/>
      <c r="H112" s="425"/>
      <c r="I112" s="426">
        <f>I113</f>
        <v>2329729.04101788</v>
      </c>
      <c r="J112" s="437">
        <f t="shared" si="13"/>
        <v>0</v>
      </c>
    </row>
    <row r="113" s="539" customFormat="1" ht="15.95" customHeight="1" spans="1:10">
      <c r="A113" s="107"/>
      <c r="B113" s="371" t="s">
        <v>239</v>
      </c>
      <c r="C113" s="7" t="s">
        <v>175</v>
      </c>
      <c r="D113" s="552">
        <v>247684.5</v>
      </c>
      <c r="E113" s="552">
        <v>9.40603485893498</v>
      </c>
      <c r="F113" s="553">
        <v>2329729.04101788</v>
      </c>
      <c r="G113" s="443">
        <f>G111</f>
        <v>247684.5</v>
      </c>
      <c r="H113" s="425">
        <f>单价汇总表!$D$187</f>
        <v>9.40603485893498</v>
      </c>
      <c r="I113" s="426">
        <f t="shared" si="15"/>
        <v>2329729.04101788</v>
      </c>
      <c r="J113" s="437">
        <f t="shared" si="13"/>
        <v>2329729.04101788</v>
      </c>
    </row>
    <row r="114" s="539" customFormat="1" ht="15.95" customHeight="1" spans="1:10">
      <c r="A114" s="107">
        <v>2</v>
      </c>
      <c r="B114" s="371" t="s">
        <v>240</v>
      </c>
      <c r="C114" s="7"/>
      <c r="D114" s="552"/>
      <c r="E114" s="552"/>
      <c r="F114" s="553">
        <v>2217212.01827273</v>
      </c>
      <c r="G114" s="443"/>
      <c r="H114" s="425"/>
      <c r="I114" s="426">
        <f>SUM(I115:I117)</f>
        <v>2146244.90921591</v>
      </c>
      <c r="J114" s="437">
        <f t="shared" si="13"/>
        <v>0</v>
      </c>
    </row>
    <row r="115" s="539" customFormat="1" ht="15.95" customHeight="1" spans="1:10">
      <c r="A115" s="107"/>
      <c r="B115" s="371" t="s">
        <v>235</v>
      </c>
      <c r="C115" s="7" t="s">
        <v>169</v>
      </c>
      <c r="D115" s="552">
        <v>15175.65</v>
      </c>
      <c r="E115" s="552">
        <v>33.4320663217911</v>
      </c>
      <c r="F115" s="553">
        <v>507353.337276289</v>
      </c>
      <c r="G115" s="443">
        <f>14453*1.05</f>
        <v>15175.65</v>
      </c>
      <c r="H115" s="425">
        <f>H109</f>
        <v>28.7556861300485</v>
      </c>
      <c r="I115" s="426">
        <f t="shared" si="15"/>
        <v>436386.22821947</v>
      </c>
      <c r="J115" s="437">
        <f t="shared" si="13"/>
        <v>436386.22821947</v>
      </c>
    </row>
    <row r="116" s="539" customFormat="1" ht="15.95" customHeight="1" spans="1:10">
      <c r="A116" s="107"/>
      <c r="B116" s="466" t="s">
        <v>241</v>
      </c>
      <c r="C116" s="7" t="s">
        <v>175</v>
      </c>
      <c r="D116" s="552">
        <v>146275.5</v>
      </c>
      <c r="E116" s="552">
        <v>2.28326841465795</v>
      </c>
      <c r="F116" s="553">
        <v>333986.228988299</v>
      </c>
      <c r="G116" s="443">
        <f>139310*1.05</f>
        <v>146275.5</v>
      </c>
      <c r="H116" s="425">
        <f>H111</f>
        <v>2.28326841465795</v>
      </c>
      <c r="I116" s="426">
        <f t="shared" si="15"/>
        <v>333986.228988299</v>
      </c>
      <c r="J116" s="437">
        <f t="shared" si="13"/>
        <v>333986.228988299</v>
      </c>
    </row>
    <row r="117" s="539" customFormat="1" ht="15.95" customHeight="1" spans="1:10">
      <c r="A117" s="107"/>
      <c r="B117" s="371" t="s">
        <v>242</v>
      </c>
      <c r="C117" s="7" t="s">
        <v>175</v>
      </c>
      <c r="D117" s="552">
        <v>146275.5</v>
      </c>
      <c r="E117" s="552">
        <v>9.40603485893498</v>
      </c>
      <c r="F117" s="553">
        <v>1375872.45200814</v>
      </c>
      <c r="G117" s="443">
        <f>G116</f>
        <v>146275.5</v>
      </c>
      <c r="H117" s="425">
        <f>H113</f>
        <v>9.40603485893498</v>
      </c>
      <c r="I117" s="426">
        <f t="shared" si="15"/>
        <v>1375872.45200814</v>
      </c>
      <c r="J117" s="437">
        <f t="shared" si="13"/>
        <v>1375872.45200814</v>
      </c>
    </row>
    <row r="118" s="539" customFormat="1" ht="15.95" customHeight="1" spans="1:10">
      <c r="A118" s="107">
        <v>3</v>
      </c>
      <c r="B118" s="371" t="s">
        <v>243</v>
      </c>
      <c r="C118" s="7"/>
      <c r="D118" s="552"/>
      <c r="E118" s="552"/>
      <c r="F118" s="553">
        <v>756941.335213652</v>
      </c>
      <c r="G118" s="443"/>
      <c r="H118" s="425"/>
      <c r="I118" s="426">
        <f>I120+I121+I119</f>
        <v>740078.918884612</v>
      </c>
      <c r="J118" s="437">
        <f t="shared" si="13"/>
        <v>0</v>
      </c>
    </row>
    <row r="119" s="539" customFormat="1" ht="15.95" customHeight="1" spans="1:10">
      <c r="A119" s="107"/>
      <c r="B119" s="371" t="s">
        <v>235</v>
      </c>
      <c r="C119" s="7" t="s">
        <v>169</v>
      </c>
      <c r="D119" s="552">
        <v>2660</v>
      </c>
      <c r="E119" s="552">
        <v>33.4320663217911</v>
      </c>
      <c r="F119" s="553">
        <v>88929.2964159644</v>
      </c>
      <c r="G119" s="443">
        <v>2660</v>
      </c>
      <c r="H119" s="425">
        <f>H115</f>
        <v>28.7556861300485</v>
      </c>
      <c r="I119" s="426">
        <f>G119*H119</f>
        <v>76490.125105929</v>
      </c>
      <c r="J119" s="437">
        <f t="shared" si="13"/>
        <v>76490.125105929</v>
      </c>
    </row>
    <row r="120" s="539" customFormat="1" ht="15.95" customHeight="1" spans="1:10">
      <c r="A120" s="107"/>
      <c r="B120" s="466" t="s">
        <v>244</v>
      </c>
      <c r="C120" s="7" t="s">
        <v>175</v>
      </c>
      <c r="D120" s="552">
        <v>24181.5</v>
      </c>
      <c r="E120" s="552">
        <v>18.2188866222671</v>
      </c>
      <c r="F120" s="553">
        <v>440560.006856352</v>
      </c>
      <c r="G120" s="443">
        <f>23030*1.05</f>
        <v>24181.5</v>
      </c>
      <c r="H120" s="572">
        <f>新定额单价!L5432/100</f>
        <v>18.0359680680416</v>
      </c>
      <c r="I120" s="426">
        <f>G120*H120</f>
        <v>436136.761837347</v>
      </c>
      <c r="J120" s="437">
        <f t="shared" si="13"/>
        <v>436136.761837347</v>
      </c>
    </row>
    <row r="121" s="539" customFormat="1" ht="15.95" customHeight="1" spans="1:10">
      <c r="A121" s="107"/>
      <c r="B121" s="371" t="s">
        <v>245</v>
      </c>
      <c r="C121" s="7" t="s">
        <v>175</v>
      </c>
      <c r="D121" s="552">
        <v>24181.5</v>
      </c>
      <c r="E121" s="552">
        <v>9.40603485893498</v>
      </c>
      <c r="F121" s="553">
        <v>227452.031941336</v>
      </c>
      <c r="G121" s="443">
        <f>G120</f>
        <v>24181.5</v>
      </c>
      <c r="H121" s="425">
        <f>单价汇总表!$D$187</f>
        <v>9.40603485893498</v>
      </c>
      <c r="I121" s="426">
        <f>G121*H121</f>
        <v>227452.031941336</v>
      </c>
      <c r="J121" s="437">
        <f t="shared" si="13"/>
        <v>227452.031941336</v>
      </c>
    </row>
    <row r="122" s="539" customFormat="1" ht="15.95" customHeight="1" spans="1:10">
      <c r="A122" s="432" t="s">
        <v>121</v>
      </c>
      <c r="B122" s="433" t="s">
        <v>246</v>
      </c>
      <c r="C122" s="7"/>
      <c r="D122" s="552"/>
      <c r="E122" s="552"/>
      <c r="F122" s="553">
        <v>6582328.52305149</v>
      </c>
      <c r="G122" s="467"/>
      <c r="H122" s="425"/>
      <c r="I122" s="434">
        <f>I123+I340</f>
        <v>5106266.18605775</v>
      </c>
      <c r="J122" s="437">
        <f t="shared" ref="J122:J173" si="16">G122*H122</f>
        <v>0</v>
      </c>
    </row>
    <row r="123" s="539" customFormat="1" ht="15.95" customHeight="1" spans="1:10">
      <c r="A123" s="468">
        <v>1</v>
      </c>
      <c r="B123" s="418" t="s">
        <v>247</v>
      </c>
      <c r="C123" s="468" t="s">
        <v>248</v>
      </c>
      <c r="D123" s="573"/>
      <c r="E123" s="573"/>
      <c r="F123" s="574">
        <v>929577.933834169</v>
      </c>
      <c r="G123" s="443"/>
      <c r="H123" s="425"/>
      <c r="I123" s="434">
        <f>I124+I196+I268</f>
        <v>937822.257215327</v>
      </c>
      <c r="J123" s="437">
        <f t="shared" si="16"/>
        <v>0</v>
      </c>
    </row>
    <row r="124" s="539" customFormat="1" ht="15.95" customHeight="1" spans="1:10">
      <c r="A124" s="5">
        <v>1.1</v>
      </c>
      <c r="B124" s="391" t="s">
        <v>249</v>
      </c>
      <c r="C124" s="378"/>
      <c r="D124" s="552"/>
      <c r="E124" s="552"/>
      <c r="F124" s="553">
        <v>339152.025750678</v>
      </c>
      <c r="G124" s="443"/>
      <c r="H124" s="425"/>
      <c r="I124" s="434">
        <f>I162+I174+I188</f>
        <v>312623.971724064</v>
      </c>
      <c r="J124" s="437">
        <f t="shared" si="16"/>
        <v>0</v>
      </c>
    </row>
    <row r="125" s="539" customFormat="1" ht="15.95" customHeight="1" spans="1:10">
      <c r="A125" s="378" t="s">
        <v>250</v>
      </c>
      <c r="B125" s="575" t="s">
        <v>251</v>
      </c>
      <c r="C125" s="378" t="s">
        <v>193</v>
      </c>
      <c r="D125" s="552">
        <v>1</v>
      </c>
      <c r="E125" s="552"/>
      <c r="F125" s="553">
        <v>52920.5847513893</v>
      </c>
      <c r="G125" s="443"/>
      <c r="H125" s="425"/>
      <c r="I125" s="426">
        <f>SUM(I126:I131)</f>
        <v>0</v>
      </c>
      <c r="J125" s="437">
        <f t="shared" si="16"/>
        <v>0</v>
      </c>
    </row>
    <row r="126" s="539" customFormat="1" ht="15.95" customHeight="1" spans="1:10">
      <c r="A126" s="378"/>
      <c r="B126" s="575" t="s">
        <v>168</v>
      </c>
      <c r="C126" s="531" t="s">
        <v>252</v>
      </c>
      <c r="D126" s="552">
        <v>802.8405</v>
      </c>
      <c r="E126" s="552">
        <v>5.79967259622126</v>
      </c>
      <c r="F126" s="553">
        <v>4656.21204698657</v>
      </c>
      <c r="G126" s="443"/>
      <c r="H126" s="425">
        <f>H97</f>
        <v>5.59741698768686</v>
      </c>
      <c r="I126" s="426">
        <f>G126*H126</f>
        <v>0</v>
      </c>
      <c r="J126" s="437">
        <f t="shared" si="16"/>
        <v>0</v>
      </c>
    </row>
    <row r="127" s="539" customFormat="1" ht="15.95" customHeight="1" spans="1:10">
      <c r="A127" s="378"/>
      <c r="B127" s="575" t="s">
        <v>170</v>
      </c>
      <c r="C127" s="7" t="s">
        <v>169</v>
      </c>
      <c r="D127" s="552">
        <v>60.6375</v>
      </c>
      <c r="E127" s="552">
        <v>14.0473955850729</v>
      </c>
      <c r="F127" s="553">
        <v>851.798949789856</v>
      </c>
      <c r="G127" s="443"/>
      <c r="H127" s="425">
        <f>H98</f>
        <v>13.9556177229579</v>
      </c>
      <c r="I127" s="426">
        <f t="shared" ref="I127:I144" si="17">G127*H127</f>
        <v>0</v>
      </c>
      <c r="J127" s="437">
        <f t="shared" si="16"/>
        <v>0</v>
      </c>
    </row>
    <row r="128" s="539" customFormat="1" ht="15.95" customHeight="1" spans="1:10">
      <c r="A128" s="378"/>
      <c r="B128" s="575" t="s">
        <v>253</v>
      </c>
      <c r="C128" s="531" t="s">
        <v>252</v>
      </c>
      <c r="D128" s="552">
        <v>35.366688</v>
      </c>
      <c r="E128" s="552">
        <v>323.711665766842</v>
      </c>
      <c r="F128" s="553">
        <v>11448.6094851362</v>
      </c>
      <c r="G128" s="443"/>
      <c r="H128" s="425">
        <f>单价汇总表!D41/100</f>
        <v>323.711665766842</v>
      </c>
      <c r="I128" s="426">
        <f t="shared" si="17"/>
        <v>0</v>
      </c>
      <c r="J128" s="437">
        <f t="shared" si="16"/>
        <v>0</v>
      </c>
    </row>
    <row r="129" s="539" customFormat="1" ht="15.95" customHeight="1" spans="1:10">
      <c r="A129" s="378"/>
      <c r="B129" s="575" t="s">
        <v>254</v>
      </c>
      <c r="C129" s="7" t="s">
        <v>169</v>
      </c>
      <c r="D129" s="552">
        <v>43.353387</v>
      </c>
      <c r="E129" s="552">
        <v>308.036941049453</v>
      </c>
      <c r="F129" s="553">
        <v>13354.4447156131</v>
      </c>
      <c r="G129" s="443"/>
      <c r="H129" s="425">
        <f>单价汇总表!D43/100</f>
        <v>308.036941049453</v>
      </c>
      <c r="I129" s="426">
        <f t="shared" si="17"/>
        <v>0</v>
      </c>
      <c r="J129" s="437">
        <f t="shared" si="16"/>
        <v>0</v>
      </c>
    </row>
    <row r="130" s="539" customFormat="1" ht="15.95" customHeight="1" spans="1:10">
      <c r="A130" s="378"/>
      <c r="B130" s="575" t="s">
        <v>255</v>
      </c>
      <c r="C130" s="531" t="s">
        <v>252</v>
      </c>
      <c r="D130" s="552">
        <v>35.366688</v>
      </c>
      <c r="E130" s="552">
        <v>598.653564585943</v>
      </c>
      <c r="F130" s="553">
        <v>21172.3938387989</v>
      </c>
      <c r="G130" s="443"/>
      <c r="H130" s="425">
        <f>单价汇总表!D82/100</f>
        <v>598.616259510343</v>
      </c>
      <c r="I130" s="426">
        <f t="shared" si="17"/>
        <v>0</v>
      </c>
      <c r="J130" s="437">
        <f t="shared" si="16"/>
        <v>0</v>
      </c>
    </row>
    <row r="131" s="539" customFormat="1" ht="15.95" customHeight="1" spans="1:10">
      <c r="A131" s="378"/>
      <c r="B131" s="575" t="s">
        <v>256</v>
      </c>
      <c r="C131" s="531" t="s">
        <v>252</v>
      </c>
      <c r="D131" s="552">
        <v>2.7216</v>
      </c>
      <c r="E131" s="552">
        <v>528.044427933793</v>
      </c>
      <c r="F131" s="553">
        <v>1437.12571506461</v>
      </c>
      <c r="G131" s="443"/>
      <c r="H131" s="425">
        <f>单价汇总表!D106/100</f>
        <v>528.027088954994</v>
      </c>
      <c r="I131" s="426">
        <f t="shared" si="17"/>
        <v>0</v>
      </c>
      <c r="J131" s="437">
        <f t="shared" si="16"/>
        <v>0</v>
      </c>
    </row>
    <row r="132" s="539" customFormat="1" ht="15.95" customHeight="1" spans="1:10">
      <c r="A132" s="378" t="s">
        <v>257</v>
      </c>
      <c r="B132" s="575" t="s">
        <v>258</v>
      </c>
      <c r="C132" s="378" t="s">
        <v>193</v>
      </c>
      <c r="D132" s="552">
        <v>1</v>
      </c>
      <c r="E132" s="552"/>
      <c r="F132" s="553">
        <v>35766.8975447921</v>
      </c>
      <c r="G132" s="443"/>
      <c r="H132" s="425"/>
      <c r="I132" s="426">
        <f>SUM(I133:I144)</f>
        <v>0</v>
      </c>
      <c r="J132" s="437">
        <f t="shared" si="16"/>
        <v>0</v>
      </c>
    </row>
    <row r="133" s="539" customFormat="1" ht="15.95" customHeight="1" spans="1:10">
      <c r="A133" s="378"/>
      <c r="B133" s="575" t="s">
        <v>168</v>
      </c>
      <c r="C133" s="531" t="s">
        <v>252</v>
      </c>
      <c r="D133" s="552">
        <v>128.003904</v>
      </c>
      <c r="E133" s="552">
        <v>5.79967259622126</v>
      </c>
      <c r="F133" s="553">
        <v>742.380734238137</v>
      </c>
      <c r="G133" s="443"/>
      <c r="H133" s="425">
        <f>H126</f>
        <v>5.59741698768686</v>
      </c>
      <c r="I133" s="426">
        <f t="shared" si="17"/>
        <v>0</v>
      </c>
      <c r="J133" s="437">
        <f t="shared" si="16"/>
        <v>0</v>
      </c>
    </row>
    <row r="134" s="539" customFormat="1" ht="15.95" customHeight="1" spans="1:10">
      <c r="A134" s="378"/>
      <c r="B134" s="575" t="s">
        <v>170</v>
      </c>
      <c r="C134" s="7" t="s">
        <v>169</v>
      </c>
      <c r="D134" s="552">
        <v>111.976704</v>
      </c>
      <c r="E134" s="552">
        <v>14.0473955850729</v>
      </c>
      <c r="F134" s="553">
        <v>1572.98105740061</v>
      </c>
      <c r="G134" s="443"/>
      <c r="H134" s="425">
        <f>H127</f>
        <v>13.9556177229579</v>
      </c>
      <c r="I134" s="426">
        <f t="shared" si="17"/>
        <v>0</v>
      </c>
      <c r="J134" s="437">
        <f t="shared" si="16"/>
        <v>0</v>
      </c>
    </row>
    <row r="135" s="539" customFormat="1" ht="15.95" customHeight="1" spans="1:10">
      <c r="A135" s="378"/>
      <c r="B135" s="575" t="s">
        <v>259</v>
      </c>
      <c r="C135" s="7" t="s">
        <v>169</v>
      </c>
      <c r="D135" s="552">
        <v>2.4318</v>
      </c>
      <c r="E135" s="552">
        <v>608.165572985013</v>
      </c>
      <c r="F135" s="553">
        <v>1478.93704038495</v>
      </c>
      <c r="G135" s="443"/>
      <c r="H135" s="576">
        <f>新定额单价!L1443/100</f>
        <v>599.220381309962</v>
      </c>
      <c r="I135" s="426">
        <f t="shared" si="17"/>
        <v>0</v>
      </c>
      <c r="J135" s="437">
        <f t="shared" si="16"/>
        <v>0</v>
      </c>
    </row>
    <row r="136" s="539" customFormat="1" ht="15.95" customHeight="1" spans="1:10">
      <c r="A136" s="378"/>
      <c r="B136" s="575" t="s">
        <v>260</v>
      </c>
      <c r="C136" s="7" t="s">
        <v>169</v>
      </c>
      <c r="D136" s="552">
        <v>3.15</v>
      </c>
      <c r="E136" s="552">
        <v>583.35148528897</v>
      </c>
      <c r="F136" s="553">
        <v>1837.55717866026</v>
      </c>
      <c r="G136" s="443"/>
      <c r="H136" s="425">
        <f>单价汇总表!D94/100</f>
        <v>583.257794671639</v>
      </c>
      <c r="I136" s="426">
        <f t="shared" si="17"/>
        <v>0</v>
      </c>
      <c r="J136" s="437">
        <f t="shared" si="16"/>
        <v>0</v>
      </c>
    </row>
    <row r="137" s="539" customFormat="1" ht="15.95" customHeight="1" spans="1:10">
      <c r="A137" s="378"/>
      <c r="B137" s="575" t="s">
        <v>261</v>
      </c>
      <c r="C137" s="7" t="s">
        <v>169</v>
      </c>
      <c r="D137" s="552">
        <v>5.65488</v>
      </c>
      <c r="E137" s="552">
        <v>608.165572985013</v>
      </c>
      <c r="F137" s="553">
        <v>3439.10333536149</v>
      </c>
      <c r="G137" s="443"/>
      <c r="H137" s="576">
        <f>单价汇总表!D84/100</f>
        <v>608.128267909413</v>
      </c>
      <c r="I137" s="426">
        <f t="shared" si="17"/>
        <v>0</v>
      </c>
      <c r="J137" s="437">
        <f t="shared" si="16"/>
        <v>0</v>
      </c>
    </row>
    <row r="138" s="539" customFormat="1" ht="15.95" customHeight="1" spans="1:10">
      <c r="A138" s="378"/>
      <c r="B138" s="575" t="s">
        <v>262</v>
      </c>
      <c r="C138" s="7" t="s">
        <v>169</v>
      </c>
      <c r="D138" s="552">
        <v>0.5292</v>
      </c>
      <c r="E138" s="552">
        <v>770.879647119594</v>
      </c>
      <c r="F138" s="553">
        <v>407.949509255689</v>
      </c>
      <c r="G138" s="443"/>
      <c r="H138" s="425">
        <f>单价汇总表!D114/100</f>
        <v>769.910897357094</v>
      </c>
      <c r="I138" s="426">
        <f t="shared" si="17"/>
        <v>0</v>
      </c>
      <c r="J138" s="437">
        <f t="shared" si="16"/>
        <v>0</v>
      </c>
    </row>
    <row r="139" s="539" customFormat="1" ht="15.95" customHeight="1" spans="1:10">
      <c r="A139" s="378"/>
      <c r="B139" s="575" t="s">
        <v>263</v>
      </c>
      <c r="C139" s="7" t="s">
        <v>169</v>
      </c>
      <c r="D139" s="552">
        <v>0.63</v>
      </c>
      <c r="E139" s="552">
        <v>500.922568893264</v>
      </c>
      <c r="F139" s="553">
        <v>315.581218402756</v>
      </c>
      <c r="G139" s="443"/>
      <c r="H139" s="425">
        <f>单价汇总表!D86/100</f>
        <v>500.913286409664</v>
      </c>
      <c r="I139" s="426">
        <f t="shared" si="17"/>
        <v>0</v>
      </c>
      <c r="J139" s="437">
        <f t="shared" si="16"/>
        <v>0</v>
      </c>
    </row>
    <row r="140" s="539" customFormat="1" ht="15.95" customHeight="1" spans="1:10">
      <c r="A140" s="378"/>
      <c r="B140" s="575" t="s">
        <v>264</v>
      </c>
      <c r="C140" s="378" t="s">
        <v>200</v>
      </c>
      <c r="D140" s="552">
        <v>1.8711</v>
      </c>
      <c r="E140" s="552">
        <v>6547.06860221045</v>
      </c>
      <c r="F140" s="553">
        <v>12250.220061596</v>
      </c>
      <c r="G140" s="443"/>
      <c r="H140" s="425">
        <f>单价汇总表!D49</f>
        <v>6774.28452813344</v>
      </c>
      <c r="I140" s="426">
        <f t="shared" si="17"/>
        <v>0</v>
      </c>
      <c r="J140" s="437">
        <f t="shared" si="16"/>
        <v>0</v>
      </c>
    </row>
    <row r="141" s="539" customFormat="1" ht="15.95" customHeight="1" spans="1:10">
      <c r="A141" s="378"/>
      <c r="B141" s="575" t="s">
        <v>265</v>
      </c>
      <c r="C141" s="378" t="s">
        <v>200</v>
      </c>
      <c r="D141" s="552">
        <v>1.365</v>
      </c>
      <c r="E141" s="552">
        <v>6874.42203232097</v>
      </c>
      <c r="F141" s="553">
        <v>9383.58607411813</v>
      </c>
      <c r="G141" s="443"/>
      <c r="H141" s="425">
        <f>H140*1.05</f>
        <v>7112.99875454011</v>
      </c>
      <c r="I141" s="426">
        <f t="shared" si="17"/>
        <v>0</v>
      </c>
      <c r="J141" s="437">
        <f t="shared" si="16"/>
        <v>0</v>
      </c>
    </row>
    <row r="142" s="539" customFormat="1" ht="15.95" customHeight="1" spans="1:10">
      <c r="A142" s="378"/>
      <c r="B142" s="575" t="s">
        <v>266</v>
      </c>
      <c r="C142" s="378" t="s">
        <v>167</v>
      </c>
      <c r="D142" s="552">
        <v>20.328</v>
      </c>
      <c r="E142" s="552">
        <v>121.049652468226</v>
      </c>
      <c r="F142" s="553">
        <v>2460.6973353741</v>
      </c>
      <c r="G142" s="443"/>
      <c r="H142" s="425">
        <f>单价汇总表!D67/100</f>
        <v>121.049652468226</v>
      </c>
      <c r="I142" s="426">
        <f t="shared" si="17"/>
        <v>0</v>
      </c>
      <c r="J142" s="437">
        <f t="shared" si="16"/>
        <v>0</v>
      </c>
    </row>
    <row r="143" s="539" customFormat="1" ht="15.95" customHeight="1" spans="1:10">
      <c r="A143" s="378"/>
      <c r="B143" s="575" t="s">
        <v>267</v>
      </c>
      <c r="C143" s="378" t="s">
        <v>268</v>
      </c>
      <c r="D143" s="552">
        <v>0.94752</v>
      </c>
      <c r="E143" s="552">
        <v>450</v>
      </c>
      <c r="F143" s="553">
        <v>426.384</v>
      </c>
      <c r="G143" s="443"/>
      <c r="H143" s="425">
        <v>450</v>
      </c>
      <c r="I143" s="426">
        <f t="shared" si="17"/>
        <v>0</v>
      </c>
      <c r="J143" s="437">
        <f t="shared" si="16"/>
        <v>0</v>
      </c>
    </row>
    <row r="144" s="539" customFormat="1" ht="15.95" customHeight="1" spans="1:10">
      <c r="A144" s="378"/>
      <c r="B144" s="575" t="s">
        <v>269</v>
      </c>
      <c r="C144" s="378" t="s">
        <v>268</v>
      </c>
      <c r="D144" s="552">
        <v>0.06048</v>
      </c>
      <c r="E144" s="552">
        <v>24000</v>
      </c>
      <c r="F144" s="553">
        <v>1451.52</v>
      </c>
      <c r="G144" s="443"/>
      <c r="H144" s="425">
        <v>24000</v>
      </c>
      <c r="I144" s="426">
        <f t="shared" si="17"/>
        <v>0</v>
      </c>
      <c r="J144" s="437">
        <f t="shared" si="16"/>
        <v>0</v>
      </c>
    </row>
    <row r="145" s="539" customFormat="1" ht="15.95" customHeight="1" spans="1:10">
      <c r="A145" s="378" t="s">
        <v>270</v>
      </c>
      <c r="B145" s="575" t="s">
        <v>271</v>
      </c>
      <c r="C145" s="378" t="s">
        <v>167</v>
      </c>
      <c r="D145" s="552">
        <v>8.33</v>
      </c>
      <c r="E145" s="552"/>
      <c r="F145" s="553">
        <v>25519.4867413043</v>
      </c>
      <c r="G145" s="443"/>
      <c r="H145" s="425"/>
      <c r="I145" s="426">
        <f>SUM(I146:I150)</f>
        <v>0</v>
      </c>
      <c r="J145" s="437">
        <f t="shared" si="16"/>
        <v>0</v>
      </c>
    </row>
    <row r="146" s="539" customFormat="1" ht="15.95" customHeight="1" spans="1:10">
      <c r="A146" s="378"/>
      <c r="B146" s="575" t="s">
        <v>168</v>
      </c>
      <c r="C146" s="531" t="s">
        <v>252</v>
      </c>
      <c r="D146" s="552">
        <v>74.34525</v>
      </c>
      <c r="E146" s="552">
        <v>5.79967259622126</v>
      </c>
      <c r="F146" s="553">
        <v>431.178109084219</v>
      </c>
      <c r="G146" s="443"/>
      <c r="H146" s="425">
        <f>H133</f>
        <v>5.59741698768686</v>
      </c>
      <c r="I146" s="426">
        <f>G146*H146</f>
        <v>0</v>
      </c>
      <c r="J146" s="437">
        <f t="shared" si="16"/>
        <v>0</v>
      </c>
    </row>
    <row r="147" s="539" customFormat="1" ht="15.95" customHeight="1" spans="1:10">
      <c r="A147" s="378"/>
      <c r="B147" s="575" t="s">
        <v>170</v>
      </c>
      <c r="C147" s="7" t="s">
        <v>169</v>
      </c>
      <c r="D147" s="552">
        <v>22.39104</v>
      </c>
      <c r="E147" s="552">
        <v>14.0473955850729</v>
      </c>
      <c r="F147" s="553">
        <v>314.53579644119</v>
      </c>
      <c r="G147" s="443"/>
      <c r="H147" s="425">
        <f>H134</f>
        <v>13.9556177229579</v>
      </c>
      <c r="I147" s="426">
        <f>G147*H147</f>
        <v>0</v>
      </c>
      <c r="J147" s="437">
        <f t="shared" si="16"/>
        <v>0</v>
      </c>
    </row>
    <row r="148" s="539" customFormat="1" ht="15.95" customHeight="1" spans="1:10">
      <c r="A148" s="378"/>
      <c r="B148" s="575" t="s">
        <v>272</v>
      </c>
      <c r="C148" s="7" t="s">
        <v>169</v>
      </c>
      <c r="D148" s="552">
        <v>13.64454</v>
      </c>
      <c r="E148" s="552">
        <v>588.743089667626</v>
      </c>
      <c r="F148" s="553">
        <v>8033.12863669351</v>
      </c>
      <c r="G148" s="443"/>
      <c r="H148" s="425">
        <f>单价汇总表!D99/100</f>
        <v>588.663400421626</v>
      </c>
      <c r="I148" s="426">
        <f>G148*H148</f>
        <v>0</v>
      </c>
      <c r="J148" s="437">
        <f t="shared" si="16"/>
        <v>0</v>
      </c>
    </row>
    <row r="149" s="539" customFormat="1" ht="15.95" customHeight="1" spans="1:10">
      <c r="A149" s="378"/>
      <c r="B149" s="575" t="s">
        <v>266</v>
      </c>
      <c r="C149" s="378" t="s">
        <v>167</v>
      </c>
      <c r="D149" s="552">
        <v>5.46</v>
      </c>
      <c r="E149" s="552">
        <v>121.049652468226</v>
      </c>
      <c r="F149" s="553">
        <v>660.931102476514</v>
      </c>
      <c r="G149" s="443"/>
      <c r="H149" s="425">
        <f>H142</f>
        <v>121.049652468226</v>
      </c>
      <c r="I149" s="426">
        <f>G149*H149</f>
        <v>0</v>
      </c>
      <c r="J149" s="437">
        <f t="shared" si="16"/>
        <v>0</v>
      </c>
    </row>
    <row r="150" s="539" customFormat="1" ht="15.95" customHeight="1" spans="1:10">
      <c r="A150" s="378"/>
      <c r="B150" s="575" t="s">
        <v>214</v>
      </c>
      <c r="C150" s="378" t="s">
        <v>200</v>
      </c>
      <c r="D150" s="552">
        <v>2.4560172</v>
      </c>
      <c r="E150" s="552">
        <v>6547.06860221045</v>
      </c>
      <c r="F150" s="553">
        <v>16079.7130966088</v>
      </c>
      <c r="G150" s="443"/>
      <c r="H150" s="425">
        <f>H140</f>
        <v>6774.28452813344</v>
      </c>
      <c r="I150" s="426">
        <f>G150*H150</f>
        <v>0</v>
      </c>
      <c r="J150" s="437">
        <f t="shared" si="16"/>
        <v>0</v>
      </c>
    </row>
    <row r="151" s="539" customFormat="1" ht="15.95" customHeight="1" spans="1:10">
      <c r="A151" s="378" t="s">
        <v>273</v>
      </c>
      <c r="B151" s="575" t="s">
        <v>274</v>
      </c>
      <c r="C151" s="378" t="s">
        <v>193</v>
      </c>
      <c r="D151" s="552">
        <v>1</v>
      </c>
      <c r="E151" s="552"/>
      <c r="F151" s="553">
        <v>91611.1983347849</v>
      </c>
      <c r="G151" s="443"/>
      <c r="H151" s="425"/>
      <c r="I151" s="426">
        <f>SUM(I152:I161)</f>
        <v>0</v>
      </c>
      <c r="J151" s="437">
        <f t="shared" si="16"/>
        <v>0</v>
      </c>
    </row>
    <row r="152" s="539" customFormat="1" ht="15.95" customHeight="1" spans="1:10">
      <c r="A152" s="378"/>
      <c r="B152" s="575" t="s">
        <v>168</v>
      </c>
      <c r="C152" s="378" t="s">
        <v>268</v>
      </c>
      <c r="D152" s="552">
        <v>165.375</v>
      </c>
      <c r="E152" s="552">
        <v>5.79967259622126</v>
      </c>
      <c r="F152" s="553">
        <v>959.120855600091</v>
      </c>
      <c r="G152" s="443"/>
      <c r="H152" s="425">
        <f>H146</f>
        <v>5.59741698768686</v>
      </c>
      <c r="I152" s="426">
        <f t="shared" ref="I152:I161" si="18">G152*H152</f>
        <v>0</v>
      </c>
      <c r="J152" s="437">
        <f t="shared" si="16"/>
        <v>0</v>
      </c>
    </row>
    <row r="153" s="539" customFormat="1" ht="15.95" customHeight="1" spans="1:10">
      <c r="A153" s="378"/>
      <c r="B153" s="575" t="s">
        <v>170</v>
      </c>
      <c r="C153" s="378" t="s">
        <v>268</v>
      </c>
      <c r="D153" s="552">
        <v>39.375</v>
      </c>
      <c r="E153" s="552">
        <v>14.0473955850729</v>
      </c>
      <c r="F153" s="553">
        <v>553.116201162244</v>
      </c>
      <c r="G153" s="443"/>
      <c r="H153" s="425">
        <f>H147</f>
        <v>13.9556177229579</v>
      </c>
      <c r="I153" s="426">
        <f t="shared" si="18"/>
        <v>0</v>
      </c>
      <c r="J153" s="437">
        <f t="shared" si="16"/>
        <v>0</v>
      </c>
    </row>
    <row r="154" s="539" customFormat="1" ht="15.95" customHeight="1" spans="1:10">
      <c r="A154" s="378"/>
      <c r="B154" s="575" t="s">
        <v>275</v>
      </c>
      <c r="C154" s="378" t="s">
        <v>268</v>
      </c>
      <c r="D154" s="552">
        <v>25.20525</v>
      </c>
      <c r="E154" s="552">
        <v>608.165572985013</v>
      </c>
      <c r="F154" s="553">
        <v>15328.9653084805</v>
      </c>
      <c r="G154" s="443"/>
      <c r="H154" s="425">
        <f>H137</f>
        <v>608.128267909413</v>
      </c>
      <c r="I154" s="426">
        <f t="shared" si="18"/>
        <v>0</v>
      </c>
      <c r="J154" s="437">
        <f t="shared" si="16"/>
        <v>0</v>
      </c>
    </row>
    <row r="155" s="539" customFormat="1" ht="15.95" customHeight="1" spans="1:10">
      <c r="A155" s="378"/>
      <c r="B155" s="575" t="s">
        <v>276</v>
      </c>
      <c r="C155" s="378" t="s">
        <v>268</v>
      </c>
      <c r="D155" s="552">
        <v>22.3146</v>
      </c>
      <c r="E155" s="552">
        <v>583.35148528897</v>
      </c>
      <c r="F155" s="553">
        <v>13017.2550536292</v>
      </c>
      <c r="G155" s="443"/>
      <c r="H155" s="425">
        <f>H136</f>
        <v>583.257794671639</v>
      </c>
      <c r="I155" s="426">
        <f t="shared" si="18"/>
        <v>0</v>
      </c>
      <c r="J155" s="437">
        <f t="shared" si="16"/>
        <v>0</v>
      </c>
    </row>
    <row r="156" s="539" customFormat="1" ht="15.95" customHeight="1" spans="1:10">
      <c r="A156" s="378"/>
      <c r="B156" s="575" t="s">
        <v>263</v>
      </c>
      <c r="C156" s="378" t="s">
        <v>268</v>
      </c>
      <c r="D156" s="552">
        <v>3.4272</v>
      </c>
      <c r="E156" s="552">
        <v>500.922568893264</v>
      </c>
      <c r="F156" s="553">
        <v>1716.76182811099</v>
      </c>
      <c r="G156" s="443"/>
      <c r="H156" s="425">
        <f>H139</f>
        <v>500.913286409664</v>
      </c>
      <c r="I156" s="426">
        <f t="shared" si="18"/>
        <v>0</v>
      </c>
      <c r="J156" s="437">
        <f t="shared" si="16"/>
        <v>0</v>
      </c>
    </row>
    <row r="157" s="539" customFormat="1" ht="15.95" customHeight="1" spans="1:10">
      <c r="A157" s="378"/>
      <c r="B157" s="575" t="s">
        <v>277</v>
      </c>
      <c r="C157" s="378" t="s">
        <v>268</v>
      </c>
      <c r="D157" s="552">
        <v>0.84</v>
      </c>
      <c r="E157" s="552">
        <v>917.455291776506</v>
      </c>
      <c r="F157" s="553">
        <v>770.662445092265</v>
      </c>
      <c r="G157" s="443"/>
      <c r="H157" s="425">
        <f>单价汇总表!D122/100</f>
        <v>915.810424006506</v>
      </c>
      <c r="I157" s="426">
        <f t="shared" si="18"/>
        <v>0</v>
      </c>
      <c r="J157" s="437">
        <f t="shared" si="16"/>
        <v>0</v>
      </c>
    </row>
    <row r="158" s="539" customFormat="1" ht="15.95" customHeight="1" spans="1:10">
      <c r="A158" s="378"/>
      <c r="B158" s="575" t="s">
        <v>214</v>
      </c>
      <c r="C158" s="378" t="s">
        <v>200</v>
      </c>
      <c r="D158" s="552">
        <v>8.55414</v>
      </c>
      <c r="E158" s="552">
        <v>6547.06860221045</v>
      </c>
      <c r="F158" s="553">
        <v>56004.5414129125</v>
      </c>
      <c r="G158" s="443"/>
      <c r="H158" s="425">
        <f>H150</f>
        <v>6774.28452813344</v>
      </c>
      <c r="I158" s="426">
        <f t="shared" si="18"/>
        <v>0</v>
      </c>
      <c r="J158" s="437">
        <f t="shared" si="16"/>
        <v>0</v>
      </c>
    </row>
    <row r="159" s="539" customFormat="1" ht="15.95" customHeight="1" spans="1:10">
      <c r="A159" s="378"/>
      <c r="B159" s="575" t="s">
        <v>266</v>
      </c>
      <c r="C159" s="378" t="s">
        <v>167</v>
      </c>
      <c r="D159" s="552">
        <v>11.424</v>
      </c>
      <c r="E159" s="552">
        <v>121.049652468226</v>
      </c>
      <c r="F159" s="553">
        <v>1382.87122979701</v>
      </c>
      <c r="G159" s="443"/>
      <c r="H159" s="425">
        <f>H149</f>
        <v>121.049652468226</v>
      </c>
      <c r="I159" s="426">
        <f t="shared" si="18"/>
        <v>0</v>
      </c>
      <c r="J159" s="437">
        <f t="shared" si="16"/>
        <v>0</v>
      </c>
    </row>
    <row r="160" s="539" customFormat="1" ht="15.95" customHeight="1" spans="1:10">
      <c r="A160" s="378"/>
      <c r="B160" s="575" t="s">
        <v>267</v>
      </c>
      <c r="C160" s="378" t="s">
        <v>268</v>
      </c>
      <c r="D160" s="552">
        <v>0.94752</v>
      </c>
      <c r="E160" s="552">
        <v>450</v>
      </c>
      <c r="F160" s="553">
        <v>426.384</v>
      </c>
      <c r="G160" s="443"/>
      <c r="H160" s="425">
        <f>H143</f>
        <v>450</v>
      </c>
      <c r="I160" s="426">
        <f t="shared" si="18"/>
        <v>0</v>
      </c>
      <c r="J160" s="437">
        <f t="shared" si="16"/>
        <v>0</v>
      </c>
    </row>
    <row r="161" s="539" customFormat="1" ht="15.95" customHeight="1" spans="1:10">
      <c r="A161" s="378"/>
      <c r="B161" s="575" t="s">
        <v>269</v>
      </c>
      <c r="C161" s="378" t="s">
        <v>268</v>
      </c>
      <c r="D161" s="552">
        <v>0.06048</v>
      </c>
      <c r="E161" s="552">
        <v>24000</v>
      </c>
      <c r="F161" s="553">
        <v>1451.52</v>
      </c>
      <c r="G161" s="443"/>
      <c r="H161" s="425">
        <f>H144</f>
        <v>24000</v>
      </c>
      <c r="I161" s="426">
        <f t="shared" si="18"/>
        <v>0</v>
      </c>
      <c r="J161" s="437">
        <f t="shared" si="16"/>
        <v>0</v>
      </c>
    </row>
    <row r="162" s="539" customFormat="1" ht="15.95" customHeight="1" spans="1:14">
      <c r="A162" s="378" t="s">
        <v>250</v>
      </c>
      <c r="B162" s="11" t="s">
        <v>278</v>
      </c>
      <c r="C162" s="7" t="s">
        <v>193</v>
      </c>
      <c r="D162" s="552">
        <v>1</v>
      </c>
      <c r="E162" s="552"/>
      <c r="F162" s="553">
        <v>131191.504143373</v>
      </c>
      <c r="G162" s="443">
        <v>1</v>
      </c>
      <c r="H162" s="425"/>
      <c r="I162" s="426">
        <f>SUM(I163:I173)</f>
        <v>195435.500617633</v>
      </c>
      <c r="J162" s="437">
        <f t="shared" si="16"/>
        <v>0</v>
      </c>
      <c r="K162" s="591">
        <v>1</v>
      </c>
      <c r="L162" s="591" t="s">
        <v>247</v>
      </c>
      <c r="M162" s="591" t="s">
        <v>248</v>
      </c>
      <c r="N162" s="592"/>
    </row>
    <row r="163" s="539" customFormat="1" ht="15.95" customHeight="1" spans="1:14">
      <c r="A163" s="378"/>
      <c r="B163" s="470" t="s">
        <v>279</v>
      </c>
      <c r="C163" s="471" t="s">
        <v>169</v>
      </c>
      <c r="D163" s="577">
        <v>47.25</v>
      </c>
      <c r="E163" s="577">
        <v>9.54247132741747</v>
      </c>
      <c r="F163" s="578">
        <v>450.881770220475</v>
      </c>
      <c r="G163" s="443">
        <v>184.88</v>
      </c>
      <c r="H163" s="425">
        <f>单价汇总表!D19/100</f>
        <v>9.15967136570967</v>
      </c>
      <c r="I163" s="426">
        <f t="shared" ref="I163:I173" si="19">G163*H163</f>
        <v>1693.4400420924</v>
      </c>
      <c r="J163" s="437">
        <f t="shared" si="16"/>
        <v>1693.4400420924</v>
      </c>
      <c r="K163" s="591">
        <v>1.1</v>
      </c>
      <c r="L163" s="591" t="s">
        <v>249</v>
      </c>
      <c r="M163" s="591"/>
      <c r="N163" s="592"/>
    </row>
    <row r="164" s="539" customFormat="1" ht="15.95" customHeight="1" spans="1:14">
      <c r="A164" s="378"/>
      <c r="B164" s="406" t="s">
        <v>280</v>
      </c>
      <c r="C164" s="7" t="s">
        <v>169</v>
      </c>
      <c r="D164" s="552">
        <v>393.75</v>
      </c>
      <c r="E164" s="552">
        <v>5.79967259622126</v>
      </c>
      <c r="F164" s="553">
        <v>2283.62108476212</v>
      </c>
      <c r="G164" s="443">
        <v>396.45</v>
      </c>
      <c r="H164" s="425">
        <f>H152</f>
        <v>5.59741698768686</v>
      </c>
      <c r="I164" s="426">
        <f t="shared" si="19"/>
        <v>2219.09596476846</v>
      </c>
      <c r="J164" s="437">
        <f t="shared" si="16"/>
        <v>2219.09596476846</v>
      </c>
      <c r="K164" s="591" t="s">
        <v>250</v>
      </c>
      <c r="L164" s="591" t="s">
        <v>278</v>
      </c>
      <c r="M164" s="591" t="s">
        <v>193</v>
      </c>
      <c r="N164" s="592">
        <v>1</v>
      </c>
    </row>
    <row r="165" s="539" customFormat="1" ht="15.95" customHeight="1" spans="1:14">
      <c r="A165" s="378"/>
      <c r="B165" s="406" t="s">
        <v>281</v>
      </c>
      <c r="C165" s="7" t="s">
        <v>169</v>
      </c>
      <c r="D165" s="552">
        <v>315</v>
      </c>
      <c r="E165" s="552">
        <v>14.0473955850729</v>
      </c>
      <c r="F165" s="553">
        <v>4424.92960929795</v>
      </c>
      <c r="G165" s="443">
        <v>312.36</v>
      </c>
      <c r="H165" s="425">
        <f>H153</f>
        <v>13.9556177229579</v>
      </c>
      <c r="I165" s="426">
        <f t="shared" si="19"/>
        <v>4359.17675194312</v>
      </c>
      <c r="J165" s="437">
        <f t="shared" si="16"/>
        <v>4359.17675194312</v>
      </c>
      <c r="K165" s="591"/>
      <c r="L165" s="592" t="s">
        <v>279</v>
      </c>
      <c r="M165" s="591" t="s">
        <v>169</v>
      </c>
      <c r="N165" s="592">
        <v>184.884</v>
      </c>
    </row>
    <row r="166" s="539" customFormat="1" ht="15.95" customHeight="1" spans="1:14">
      <c r="A166" s="378"/>
      <c r="B166" s="366" t="s">
        <v>282</v>
      </c>
      <c r="C166" s="384" t="s">
        <v>169</v>
      </c>
      <c r="D166" s="552"/>
      <c r="E166" s="552"/>
      <c r="F166" s="553"/>
      <c r="G166" s="443">
        <v>19</v>
      </c>
      <c r="H166" s="425">
        <f>单价汇总表!D94/100</f>
        <v>583.257794671639</v>
      </c>
      <c r="I166" s="426">
        <f t="shared" si="19"/>
        <v>11081.8980987611</v>
      </c>
      <c r="J166" s="437">
        <f t="shared" si="16"/>
        <v>11081.8980987611</v>
      </c>
      <c r="K166" s="591"/>
      <c r="L166" s="591" t="s">
        <v>280</v>
      </c>
      <c r="M166" s="591" t="s">
        <v>169</v>
      </c>
      <c r="N166" s="592">
        <v>396.45</v>
      </c>
    </row>
    <row r="167" s="539" customFormat="1" ht="15.95" customHeight="1" spans="1:14">
      <c r="A167" s="378"/>
      <c r="B167" s="366" t="s">
        <v>283</v>
      </c>
      <c r="C167" s="384" t="s">
        <v>169</v>
      </c>
      <c r="D167" s="552"/>
      <c r="E167" s="552"/>
      <c r="F167" s="553"/>
      <c r="G167" s="443">
        <v>51.05</v>
      </c>
      <c r="H167" s="579">
        <v>217.66</v>
      </c>
      <c r="I167" s="426">
        <f t="shared" si="19"/>
        <v>11111.543</v>
      </c>
      <c r="J167" s="437">
        <f t="shared" si="16"/>
        <v>11111.543</v>
      </c>
      <c r="K167" s="591"/>
      <c r="L167" s="591" t="s">
        <v>284</v>
      </c>
      <c r="M167" s="591" t="s">
        <v>169</v>
      </c>
      <c r="N167" s="592">
        <v>312.36</v>
      </c>
    </row>
    <row r="168" s="539" customFormat="1" ht="15.95" customHeight="1" spans="1:14">
      <c r="A168" s="378"/>
      <c r="B168" s="366" t="s">
        <v>285</v>
      </c>
      <c r="C168" s="384" t="s">
        <v>169</v>
      </c>
      <c r="D168" s="552"/>
      <c r="E168" s="552"/>
      <c r="F168" s="553"/>
      <c r="G168" s="443">
        <v>67.35</v>
      </c>
      <c r="H168" s="425">
        <f>单价汇总表!D31/100</f>
        <v>12.9724899040303</v>
      </c>
      <c r="I168" s="426">
        <f t="shared" si="19"/>
        <v>873.697195036443</v>
      </c>
      <c r="J168" s="437">
        <f t="shared" si="16"/>
        <v>873.697195036443</v>
      </c>
      <c r="K168" s="591"/>
      <c r="L168" s="591" t="s">
        <v>282</v>
      </c>
      <c r="M168" s="591" t="s">
        <v>169</v>
      </c>
      <c r="N168" s="592">
        <v>19.00368</v>
      </c>
    </row>
    <row r="169" s="539" customFormat="1" ht="15.95" customHeight="1" spans="1:14">
      <c r="A169" s="378"/>
      <c r="B169" s="473" t="s">
        <v>286</v>
      </c>
      <c r="C169" s="474" t="s">
        <v>169</v>
      </c>
      <c r="D169" s="580">
        <v>0.2268</v>
      </c>
      <c r="E169" s="580">
        <v>564.689943089687</v>
      </c>
      <c r="F169" s="581">
        <v>128.071679092741</v>
      </c>
      <c r="G169" s="443"/>
      <c r="H169" s="563">
        <f>单价汇总表!D78/100</f>
        <v>564.674705805287</v>
      </c>
      <c r="I169" s="426">
        <f t="shared" si="19"/>
        <v>0</v>
      </c>
      <c r="J169" s="437">
        <f t="shared" si="16"/>
        <v>0</v>
      </c>
      <c r="K169" s="591"/>
      <c r="L169" s="591" t="s">
        <v>283</v>
      </c>
      <c r="M169" s="591" t="s">
        <v>169</v>
      </c>
      <c r="N169" s="592">
        <v>51.0496</v>
      </c>
    </row>
    <row r="170" s="539" customFormat="1" ht="15.95" customHeight="1" spans="1:14">
      <c r="A170" s="378"/>
      <c r="B170" s="582" t="s">
        <v>287</v>
      </c>
      <c r="C170" s="474" t="s">
        <v>169</v>
      </c>
      <c r="D170" s="580"/>
      <c r="E170" s="580"/>
      <c r="F170" s="581"/>
      <c r="G170" s="443">
        <v>0.216</v>
      </c>
      <c r="H170" s="563">
        <f>单价汇总表!D79/100</f>
        <v>574.648992970568</v>
      </c>
      <c r="I170" s="426">
        <f t="shared" si="19"/>
        <v>124.124182481643</v>
      </c>
      <c r="J170" s="437">
        <f t="shared" si="16"/>
        <v>124.124182481643</v>
      </c>
      <c r="K170" s="591"/>
      <c r="L170" s="591" t="s">
        <v>285</v>
      </c>
      <c r="M170" s="591" t="s">
        <v>169</v>
      </c>
      <c r="N170" s="592">
        <v>67.3524</v>
      </c>
    </row>
    <row r="171" s="539" customFormat="1" ht="15.95" customHeight="1" spans="1:14">
      <c r="A171" s="378"/>
      <c r="B171" s="582" t="s">
        <v>288</v>
      </c>
      <c r="C171" s="474" t="s">
        <v>169</v>
      </c>
      <c r="D171" s="580"/>
      <c r="E171" s="580"/>
      <c r="F171" s="581"/>
      <c r="G171" s="443">
        <v>12.67</v>
      </c>
      <c r="H171" s="563">
        <f>单价汇总表!D86/100</f>
        <v>500.913286409664</v>
      </c>
      <c r="I171" s="426">
        <f t="shared" si="19"/>
        <v>6346.57133881044</v>
      </c>
      <c r="J171" s="437">
        <f t="shared" si="16"/>
        <v>6346.57133881044</v>
      </c>
      <c r="K171" s="591"/>
      <c r="L171" s="591" t="s">
        <v>287</v>
      </c>
      <c r="M171" s="591" t="s">
        <v>169</v>
      </c>
      <c r="N171" s="592">
        <v>0.216</v>
      </c>
    </row>
    <row r="172" s="539" customFormat="1" ht="15.95" customHeight="1" spans="1:14">
      <c r="A172" s="378"/>
      <c r="B172" s="582" t="s">
        <v>214</v>
      </c>
      <c r="C172" s="474" t="s">
        <v>200</v>
      </c>
      <c r="D172" s="580"/>
      <c r="E172" s="580"/>
      <c r="F172" s="581"/>
      <c r="G172" s="443">
        <v>0.204</v>
      </c>
      <c r="H172" s="563">
        <f>单价汇总表!D49</f>
        <v>6774.28452813344</v>
      </c>
      <c r="I172" s="426">
        <f t="shared" si="19"/>
        <v>1381.95404373922</v>
      </c>
      <c r="J172" s="437">
        <f t="shared" si="16"/>
        <v>1381.95404373922</v>
      </c>
      <c r="K172" s="591"/>
      <c r="L172" s="591" t="s">
        <v>288</v>
      </c>
      <c r="M172" s="591" t="s">
        <v>169</v>
      </c>
      <c r="N172" s="592">
        <v>12.67</v>
      </c>
    </row>
    <row r="173" s="539" customFormat="1" ht="15.95" customHeight="1" spans="1:14">
      <c r="A173" s="378"/>
      <c r="B173" s="11" t="s">
        <v>289</v>
      </c>
      <c r="C173" s="471" t="s">
        <v>175</v>
      </c>
      <c r="D173" s="577">
        <v>56.32</v>
      </c>
      <c r="E173" s="577">
        <v>2200</v>
      </c>
      <c r="F173" s="578">
        <v>123904</v>
      </c>
      <c r="G173" s="443">
        <v>71.02</v>
      </c>
      <c r="H173" s="425">
        <v>2200</v>
      </c>
      <c r="I173" s="426">
        <f t="shared" si="19"/>
        <v>156244</v>
      </c>
      <c r="J173" s="437">
        <f t="shared" si="16"/>
        <v>156244</v>
      </c>
      <c r="K173" s="591"/>
      <c r="L173" s="591" t="s">
        <v>214</v>
      </c>
      <c r="M173" s="591" t="s">
        <v>200</v>
      </c>
      <c r="N173" s="592">
        <v>0.204</v>
      </c>
    </row>
    <row r="174" s="539" customFormat="1" ht="15.95" customHeight="1" spans="1:14">
      <c r="A174" s="384" t="s">
        <v>257</v>
      </c>
      <c r="B174" s="583" t="s">
        <v>290</v>
      </c>
      <c r="C174" s="584"/>
      <c r="D174" s="577"/>
      <c r="E174" s="577"/>
      <c r="F174" s="578"/>
      <c r="G174" s="443"/>
      <c r="H174" s="425"/>
      <c r="I174" s="426">
        <f>SUM(I175:I187)</f>
        <v>115046.19516263</v>
      </c>
      <c r="J174" s="437">
        <f t="shared" ref="J174:J189" si="20">G174*H174</f>
        <v>0</v>
      </c>
      <c r="K174" s="591"/>
      <c r="L174" s="591" t="s">
        <v>289</v>
      </c>
      <c r="M174" s="591" t="s">
        <v>175</v>
      </c>
      <c r="N174" s="592">
        <v>63.35</v>
      </c>
    </row>
    <row r="175" s="539" customFormat="1" ht="15.95" customHeight="1" spans="1:14">
      <c r="A175" s="384"/>
      <c r="B175" s="415" t="s">
        <v>291</v>
      </c>
      <c r="C175" s="384" t="s">
        <v>169</v>
      </c>
      <c r="D175" s="577"/>
      <c r="E175" s="577"/>
      <c r="F175" s="578"/>
      <c r="G175" s="443">
        <v>309.402624</v>
      </c>
      <c r="H175" s="425">
        <f>H126</f>
        <v>5.59741698768686</v>
      </c>
      <c r="I175" s="426">
        <f t="shared" ref="I175:I187" si="21">G175*H175</f>
        <v>1731.85550361249</v>
      </c>
      <c r="J175" s="437">
        <f t="shared" si="20"/>
        <v>1731.85550361249</v>
      </c>
      <c r="K175" s="591" t="s">
        <v>257</v>
      </c>
      <c r="L175" s="591" t="s">
        <v>290</v>
      </c>
      <c r="M175" s="591"/>
      <c r="N175" s="593"/>
    </row>
    <row r="176" s="539" customFormat="1" ht="15.95" customHeight="1" spans="1:14">
      <c r="A176" s="384"/>
      <c r="B176" s="415" t="s">
        <v>292</v>
      </c>
      <c r="C176" s="384" t="s">
        <v>169</v>
      </c>
      <c r="D176" s="577"/>
      <c r="E176" s="577"/>
      <c r="F176" s="578"/>
      <c r="G176" s="443">
        <v>100.0224</v>
      </c>
      <c r="H176" s="425">
        <f>H127</f>
        <v>13.9556177229579</v>
      </c>
      <c r="I176" s="426">
        <f t="shared" si="21"/>
        <v>1395.87437813278</v>
      </c>
      <c r="J176" s="437">
        <f t="shared" si="20"/>
        <v>1395.87437813278</v>
      </c>
      <c r="K176" s="591"/>
      <c r="L176" s="591" t="s">
        <v>291</v>
      </c>
      <c r="M176" s="591" t="s">
        <v>169</v>
      </c>
      <c r="N176" s="592">
        <v>309.402624</v>
      </c>
    </row>
    <row r="177" s="539" customFormat="1" ht="15.95" customHeight="1" spans="1:14">
      <c r="A177" s="384"/>
      <c r="B177" s="415" t="s">
        <v>293</v>
      </c>
      <c r="C177" s="384" t="s">
        <v>169</v>
      </c>
      <c r="D177" s="577"/>
      <c r="E177" s="577"/>
      <c r="F177" s="578"/>
      <c r="G177" s="443">
        <v>57.1642</v>
      </c>
      <c r="H177" s="425">
        <f>单价汇总表!D117/100</f>
        <v>977.945649219147</v>
      </c>
      <c r="I177" s="426">
        <f t="shared" si="21"/>
        <v>55903.4806810932</v>
      </c>
      <c r="J177" s="437">
        <f t="shared" si="20"/>
        <v>55903.4806810932</v>
      </c>
      <c r="K177" s="591"/>
      <c r="L177" s="591" t="s">
        <v>292</v>
      </c>
      <c r="M177" s="591" t="s">
        <v>169</v>
      </c>
      <c r="N177" s="592">
        <v>100.0224</v>
      </c>
    </row>
    <row r="178" s="539" customFormat="1" ht="15.95" customHeight="1" spans="1:14">
      <c r="A178" s="384"/>
      <c r="B178" s="415" t="s">
        <v>294</v>
      </c>
      <c r="C178" s="384" t="s">
        <v>169</v>
      </c>
      <c r="D178" s="577"/>
      <c r="E178" s="577"/>
      <c r="F178" s="578"/>
      <c r="G178" s="443">
        <v>15.71556</v>
      </c>
      <c r="H178" s="425">
        <f>单价汇总表!D118/100</f>
        <v>583.06661449156</v>
      </c>
      <c r="I178" s="426">
        <f t="shared" si="21"/>
        <v>9163.21836403898</v>
      </c>
      <c r="J178" s="437">
        <f t="shared" si="20"/>
        <v>9163.21836403898</v>
      </c>
      <c r="K178" s="591"/>
      <c r="L178" s="591" t="s">
        <v>293</v>
      </c>
      <c r="M178" s="591" t="s">
        <v>169</v>
      </c>
      <c r="N178" s="592">
        <v>57.1642</v>
      </c>
    </row>
    <row r="179" s="539" customFormat="1" ht="15.95" customHeight="1" spans="1:14">
      <c r="A179" s="384"/>
      <c r="B179" s="415" t="s">
        <v>295</v>
      </c>
      <c r="C179" s="384" t="s">
        <v>169</v>
      </c>
      <c r="D179" s="577"/>
      <c r="E179" s="577"/>
      <c r="F179" s="578"/>
      <c r="G179" s="443">
        <v>0.968</v>
      </c>
      <c r="H179" s="579">
        <f>单价汇总表!D79/100</f>
        <v>574.648992970568</v>
      </c>
      <c r="I179" s="426">
        <f t="shared" si="21"/>
        <v>556.26022519551</v>
      </c>
      <c r="J179" s="437">
        <f t="shared" si="20"/>
        <v>556.26022519551</v>
      </c>
      <c r="K179" s="591"/>
      <c r="L179" s="591" t="s">
        <v>294</v>
      </c>
      <c r="M179" s="591" t="s">
        <v>169</v>
      </c>
      <c r="N179" s="592">
        <v>15.71556</v>
      </c>
    </row>
    <row r="180" s="539" customFormat="1" ht="15.95" customHeight="1" spans="1:14">
      <c r="A180" s="384"/>
      <c r="B180" s="415" t="s">
        <v>296</v>
      </c>
      <c r="C180" s="384" t="s">
        <v>169</v>
      </c>
      <c r="D180" s="577"/>
      <c r="E180" s="577"/>
      <c r="F180" s="578"/>
      <c r="G180" s="443">
        <v>1</v>
      </c>
      <c r="H180" s="579">
        <f>单价汇总表!D84/100</f>
        <v>608.128267909413</v>
      </c>
      <c r="I180" s="426">
        <f t="shared" si="21"/>
        <v>608.128267909413</v>
      </c>
      <c r="J180" s="437">
        <f t="shared" si="20"/>
        <v>608.128267909413</v>
      </c>
      <c r="K180" s="591"/>
      <c r="L180" s="591" t="s">
        <v>295</v>
      </c>
      <c r="M180" s="591" t="s">
        <v>169</v>
      </c>
      <c r="N180" s="592">
        <v>0.968</v>
      </c>
    </row>
    <row r="181" s="539" customFormat="1" ht="15.95" customHeight="1" spans="1:14">
      <c r="A181" s="384"/>
      <c r="B181" s="415" t="s">
        <v>297</v>
      </c>
      <c r="C181" s="384" t="s">
        <v>169</v>
      </c>
      <c r="D181" s="577"/>
      <c r="E181" s="577"/>
      <c r="F181" s="578"/>
      <c r="G181" s="443">
        <v>2.24508</v>
      </c>
      <c r="H181" s="425">
        <f>H171</f>
        <v>500.913286409664</v>
      </c>
      <c r="I181" s="426">
        <f t="shared" si="21"/>
        <v>1124.59040105261</v>
      </c>
      <c r="J181" s="437">
        <f t="shared" si="20"/>
        <v>1124.59040105261</v>
      </c>
      <c r="K181" s="591"/>
      <c r="L181" s="591" t="s">
        <v>296</v>
      </c>
      <c r="M181" s="591" t="s">
        <v>169</v>
      </c>
      <c r="N181" s="592">
        <v>1</v>
      </c>
    </row>
    <row r="182" s="539" customFormat="1" ht="15.95" customHeight="1" spans="1:14">
      <c r="A182" s="384"/>
      <c r="B182" s="415" t="s">
        <v>298</v>
      </c>
      <c r="C182" s="384" t="s">
        <v>169</v>
      </c>
      <c r="D182" s="577"/>
      <c r="E182" s="577"/>
      <c r="F182" s="578"/>
      <c r="G182" s="443">
        <v>0.484</v>
      </c>
      <c r="H182" s="579">
        <f>H178</f>
        <v>583.06661449156</v>
      </c>
      <c r="I182" s="426">
        <f t="shared" si="21"/>
        <v>282.204241413915</v>
      </c>
      <c r="J182" s="437">
        <f t="shared" si="20"/>
        <v>282.204241413915</v>
      </c>
      <c r="K182" s="591"/>
      <c r="L182" s="591" t="s">
        <v>297</v>
      </c>
      <c r="M182" s="591" t="s">
        <v>169</v>
      </c>
      <c r="N182" s="592">
        <v>2.24508</v>
      </c>
    </row>
    <row r="183" s="539" customFormat="1" ht="15.95" customHeight="1" spans="1:14">
      <c r="A183" s="384"/>
      <c r="B183" s="415" t="s">
        <v>214</v>
      </c>
      <c r="C183" s="384" t="s">
        <v>200</v>
      </c>
      <c r="D183" s="577"/>
      <c r="E183" s="577"/>
      <c r="F183" s="578"/>
      <c r="G183" s="443">
        <v>0.74367513472</v>
      </c>
      <c r="H183" s="425">
        <f>H172</f>
        <v>6774.28452813344</v>
      </c>
      <c r="I183" s="426">
        <f t="shared" si="21"/>
        <v>5037.86695909125</v>
      </c>
      <c r="J183" s="437">
        <f t="shared" si="20"/>
        <v>5037.86695909125</v>
      </c>
      <c r="K183" s="591"/>
      <c r="L183" s="591" t="s">
        <v>298</v>
      </c>
      <c r="M183" s="591" t="s">
        <v>169</v>
      </c>
      <c r="N183" s="592">
        <v>0.484</v>
      </c>
    </row>
    <row r="184" s="539" customFormat="1" ht="15.95" customHeight="1" spans="1:14">
      <c r="A184" s="384"/>
      <c r="B184" s="415" t="s">
        <v>299</v>
      </c>
      <c r="C184" s="384" t="s">
        <v>200</v>
      </c>
      <c r="D184" s="577"/>
      <c r="E184" s="577"/>
      <c r="F184" s="578"/>
      <c r="G184" s="443">
        <v>1.35</v>
      </c>
      <c r="H184" s="425">
        <f>H183*1.05</f>
        <v>7112.99875454011</v>
      </c>
      <c r="I184" s="426">
        <f t="shared" si="21"/>
        <v>9602.54831862915</v>
      </c>
      <c r="J184" s="437">
        <f t="shared" si="20"/>
        <v>9602.54831862915</v>
      </c>
      <c r="K184" s="591"/>
      <c r="L184" s="591" t="s">
        <v>214</v>
      </c>
      <c r="M184" s="591" t="s">
        <v>200</v>
      </c>
      <c r="N184" s="592">
        <v>0.74367513472</v>
      </c>
    </row>
    <row r="185" s="539" customFormat="1" ht="15.95" customHeight="1" spans="1:14">
      <c r="A185" s="384"/>
      <c r="B185" s="415" t="s">
        <v>300</v>
      </c>
      <c r="C185" s="384" t="s">
        <v>200</v>
      </c>
      <c r="D185" s="577"/>
      <c r="E185" s="577"/>
      <c r="F185" s="578"/>
      <c r="G185" s="443">
        <v>1.56</v>
      </c>
      <c r="H185" s="425">
        <f>H184</f>
        <v>7112.99875454011</v>
      </c>
      <c r="I185" s="426">
        <f t="shared" si="21"/>
        <v>11096.2780570826</v>
      </c>
      <c r="J185" s="437">
        <f t="shared" si="20"/>
        <v>11096.2780570826</v>
      </c>
      <c r="K185" s="591"/>
      <c r="L185" s="591" t="s">
        <v>299</v>
      </c>
      <c r="M185" s="591" t="s">
        <v>200</v>
      </c>
      <c r="N185" s="592">
        <v>1.35</v>
      </c>
    </row>
    <row r="186" s="539" customFormat="1" ht="15.95" customHeight="1" spans="1:14">
      <c r="A186" s="384"/>
      <c r="B186" s="415" t="s">
        <v>301</v>
      </c>
      <c r="C186" s="384" t="s">
        <v>169</v>
      </c>
      <c r="D186" s="577"/>
      <c r="E186" s="577"/>
      <c r="F186" s="578"/>
      <c r="G186" s="443">
        <v>0.72</v>
      </c>
      <c r="H186" s="425">
        <v>24000</v>
      </c>
      <c r="I186" s="426">
        <f t="shared" si="21"/>
        <v>17280</v>
      </c>
      <c r="J186" s="437">
        <f t="shared" si="20"/>
        <v>17280</v>
      </c>
      <c r="K186" s="591"/>
      <c r="L186" s="591" t="s">
        <v>300</v>
      </c>
      <c r="M186" s="591" t="s">
        <v>200</v>
      </c>
      <c r="N186" s="592">
        <v>1.56</v>
      </c>
    </row>
    <row r="187" s="539" customFormat="1" ht="15.95" customHeight="1" spans="1:14">
      <c r="A187" s="384"/>
      <c r="B187" s="415" t="s">
        <v>302</v>
      </c>
      <c r="C187" s="384" t="s">
        <v>175</v>
      </c>
      <c r="D187" s="577"/>
      <c r="E187" s="577"/>
      <c r="F187" s="578"/>
      <c r="G187" s="443">
        <v>5.8</v>
      </c>
      <c r="H187" s="425">
        <f>新定额单价!L3244/100</f>
        <v>217.912028513414</v>
      </c>
      <c r="I187" s="426">
        <f t="shared" si="21"/>
        <v>1263.8897653778</v>
      </c>
      <c r="J187" s="437">
        <f t="shared" si="20"/>
        <v>1263.8897653778</v>
      </c>
      <c r="K187" s="591"/>
      <c r="L187" s="591" t="s">
        <v>301</v>
      </c>
      <c r="M187" s="591" t="s">
        <v>169</v>
      </c>
      <c r="N187" s="592">
        <v>0.72</v>
      </c>
    </row>
    <row r="188" s="539" customFormat="1" ht="15.95" customHeight="1" spans="1:14">
      <c r="A188" s="378" t="s">
        <v>270</v>
      </c>
      <c r="B188" s="477" t="s">
        <v>303</v>
      </c>
      <c r="C188" s="478" t="s">
        <v>193</v>
      </c>
      <c r="D188" s="585">
        <v>1</v>
      </c>
      <c r="E188" s="585"/>
      <c r="F188" s="586">
        <v>2142.35423503389</v>
      </c>
      <c r="G188" s="425">
        <v>1</v>
      </c>
      <c r="H188" s="425"/>
      <c r="I188" s="426">
        <f>SUM(I189:I195)</f>
        <v>2142.27594380119</v>
      </c>
      <c r="J188" s="437">
        <f t="shared" si="20"/>
        <v>0</v>
      </c>
      <c r="K188" s="591"/>
      <c r="L188" s="591" t="s">
        <v>302</v>
      </c>
      <c r="M188" s="591" t="s">
        <v>175</v>
      </c>
      <c r="N188" s="592">
        <v>5.8</v>
      </c>
    </row>
    <row r="189" s="539" customFormat="1" ht="15.95" customHeight="1" spans="1:14">
      <c r="A189" s="378"/>
      <c r="B189" s="406" t="s">
        <v>304</v>
      </c>
      <c r="C189" s="479" t="s">
        <v>305</v>
      </c>
      <c r="D189" s="587">
        <v>1</v>
      </c>
      <c r="E189" s="587">
        <v>1000</v>
      </c>
      <c r="F189" s="588">
        <v>1000</v>
      </c>
      <c r="G189" s="425">
        <v>1</v>
      </c>
      <c r="H189" s="425">
        <v>1000</v>
      </c>
      <c r="I189" s="426">
        <f t="shared" ref="I189:I208" si="22">G189*H189</f>
        <v>1000</v>
      </c>
      <c r="J189" s="437">
        <f t="shared" si="20"/>
        <v>1000</v>
      </c>
      <c r="K189" s="591" t="s">
        <v>270</v>
      </c>
      <c r="L189" s="591" t="s">
        <v>303</v>
      </c>
      <c r="M189" s="593" t="s">
        <v>193</v>
      </c>
      <c r="N189" s="592">
        <v>1</v>
      </c>
    </row>
    <row r="190" s="539" customFormat="1" ht="15.95" customHeight="1" spans="1:14">
      <c r="A190" s="378"/>
      <c r="B190" s="11" t="s">
        <v>306</v>
      </c>
      <c r="C190" s="480" t="s">
        <v>307</v>
      </c>
      <c r="D190" s="589">
        <v>0.763337925</v>
      </c>
      <c r="E190" s="589">
        <v>573.476964915539</v>
      </c>
      <c r="F190" s="590">
        <v>437.756716433925</v>
      </c>
      <c r="G190" s="425">
        <v>0.763337925</v>
      </c>
      <c r="H190" s="425">
        <f>单价汇总表!D92/100</f>
        <v>573.383274298207</v>
      </c>
      <c r="I190" s="426">
        <f t="shared" si="22"/>
        <v>437.685198832499</v>
      </c>
      <c r="J190" s="437">
        <f t="shared" ref="J190:J204" si="23">G190*H190</f>
        <v>437.685198832499</v>
      </c>
      <c r="K190" s="591"/>
      <c r="L190" s="591" t="s">
        <v>304</v>
      </c>
      <c r="M190" s="591" t="s">
        <v>305</v>
      </c>
      <c r="N190" s="592">
        <v>1</v>
      </c>
    </row>
    <row r="191" s="539" customFormat="1" ht="15.95" customHeight="1" spans="1:14">
      <c r="A191" s="378"/>
      <c r="B191" s="11" t="s">
        <v>308</v>
      </c>
      <c r="C191" s="480" t="s">
        <v>307</v>
      </c>
      <c r="D191" s="589">
        <v>0.1764</v>
      </c>
      <c r="E191" s="589">
        <v>647.348816145622</v>
      </c>
      <c r="F191" s="590">
        <v>114.192331168088</v>
      </c>
      <c r="G191" s="425">
        <v>0.1764</v>
      </c>
      <c r="H191" s="425">
        <f>单价汇总表!D75/100</f>
        <v>647.324646660022</v>
      </c>
      <c r="I191" s="426">
        <f t="shared" si="22"/>
        <v>114.188067670828</v>
      </c>
      <c r="J191" s="437">
        <f t="shared" si="23"/>
        <v>114.188067670828</v>
      </c>
      <c r="K191" s="591"/>
      <c r="L191" s="591" t="s">
        <v>306</v>
      </c>
      <c r="M191" s="592" t="s">
        <v>307</v>
      </c>
      <c r="N191" s="592">
        <v>0.763337925</v>
      </c>
    </row>
    <row r="192" s="539" customFormat="1" ht="15.95" customHeight="1" spans="1:14">
      <c r="A192" s="378"/>
      <c r="B192" s="11" t="s">
        <v>309</v>
      </c>
      <c r="C192" s="480" t="s">
        <v>307</v>
      </c>
      <c r="D192" s="589">
        <v>0.1038555</v>
      </c>
      <c r="E192" s="589">
        <v>647.348816145622</v>
      </c>
      <c r="F192" s="590">
        <v>67.2307349752116</v>
      </c>
      <c r="G192" s="425">
        <v>0.1038555</v>
      </c>
      <c r="H192" s="425">
        <f>H191</f>
        <v>647.324646660022</v>
      </c>
      <c r="I192" s="426">
        <f t="shared" si="22"/>
        <v>67.2282248411999</v>
      </c>
      <c r="J192" s="437">
        <f t="shared" si="23"/>
        <v>67.2282248411999</v>
      </c>
      <c r="K192" s="591"/>
      <c r="L192" s="591" t="s">
        <v>308</v>
      </c>
      <c r="M192" s="592" t="s">
        <v>307</v>
      </c>
      <c r="N192" s="592">
        <v>0.1764</v>
      </c>
    </row>
    <row r="193" s="539" customFormat="1" ht="15.95" customHeight="1" spans="1:14">
      <c r="A193" s="378"/>
      <c r="B193" s="11" t="s">
        <v>310</v>
      </c>
      <c r="C193" s="7" t="s">
        <v>305</v>
      </c>
      <c r="D193" s="552">
        <v>1</v>
      </c>
      <c r="E193" s="552">
        <v>50</v>
      </c>
      <c r="F193" s="553">
        <v>50</v>
      </c>
      <c r="G193" s="425">
        <f>G188</f>
        <v>1</v>
      </c>
      <c r="H193" s="425">
        <v>50</v>
      </c>
      <c r="I193" s="426">
        <f t="shared" si="22"/>
        <v>50</v>
      </c>
      <c r="J193" s="437">
        <f t="shared" si="23"/>
        <v>50</v>
      </c>
      <c r="K193" s="591"/>
      <c r="L193" s="591" t="s">
        <v>309</v>
      </c>
      <c r="M193" s="592" t="s">
        <v>307</v>
      </c>
      <c r="N193" s="592">
        <v>0.1038555</v>
      </c>
    </row>
    <row r="194" s="539" customFormat="1" ht="15.95" customHeight="1" spans="1:14">
      <c r="A194" s="378"/>
      <c r="B194" s="11" t="s">
        <v>311</v>
      </c>
      <c r="C194" s="481" t="s">
        <v>307</v>
      </c>
      <c r="D194" s="594">
        <v>0.19732545</v>
      </c>
      <c r="E194" s="594">
        <v>583.993706543077</v>
      </c>
      <c r="F194" s="595">
        <v>115.236820940781</v>
      </c>
      <c r="G194" s="425">
        <v>0.19732545</v>
      </c>
      <c r="H194" s="425">
        <f>单价汇总表!D138/100/0.03</f>
        <v>583.993706543077</v>
      </c>
      <c r="I194" s="426">
        <f t="shared" si="22"/>
        <v>115.236820940781</v>
      </c>
      <c r="J194" s="437">
        <f t="shared" si="23"/>
        <v>115.236820940781</v>
      </c>
      <c r="K194" s="591"/>
      <c r="L194" s="591" t="s">
        <v>310</v>
      </c>
      <c r="M194" s="591" t="s">
        <v>305</v>
      </c>
      <c r="N194" s="592">
        <v>1</v>
      </c>
    </row>
    <row r="195" s="539" customFormat="1" ht="15.95" customHeight="1" spans="1:14">
      <c r="A195" s="378"/>
      <c r="B195" s="482" t="s">
        <v>312</v>
      </c>
      <c r="C195" s="483" t="s">
        <v>175</v>
      </c>
      <c r="D195" s="594">
        <v>19.2132675</v>
      </c>
      <c r="E195" s="594">
        <v>18.6297115530134</v>
      </c>
      <c r="F195" s="595">
        <v>357.937631515887</v>
      </c>
      <c r="G195" s="425">
        <v>19.2132675</v>
      </c>
      <c r="H195" s="425">
        <f>单价汇总表!D70/100</f>
        <v>18.6297115530134</v>
      </c>
      <c r="I195" s="426">
        <f t="shared" si="22"/>
        <v>357.937631515887</v>
      </c>
      <c r="J195" s="437">
        <f t="shared" si="23"/>
        <v>357.937631515887</v>
      </c>
      <c r="K195" s="591"/>
      <c r="L195" s="591" t="s">
        <v>311</v>
      </c>
      <c r="M195" s="592" t="s">
        <v>307</v>
      </c>
      <c r="N195" s="592">
        <v>0.19732545</v>
      </c>
    </row>
    <row r="196" s="539" customFormat="1" ht="15.95" customHeight="1" spans="1:14">
      <c r="A196" s="5">
        <v>1.2</v>
      </c>
      <c r="B196" s="391" t="s">
        <v>313</v>
      </c>
      <c r="C196" s="378" t="s">
        <v>193</v>
      </c>
      <c r="D196" s="552"/>
      <c r="E196" s="552"/>
      <c r="F196" s="553">
        <v>271666.475778784</v>
      </c>
      <c r="G196" s="425"/>
      <c r="H196" s="425"/>
      <c r="I196" s="434">
        <f>I234+I246+I260</f>
        <v>312599.112309341</v>
      </c>
      <c r="J196" s="437">
        <f t="shared" si="23"/>
        <v>0</v>
      </c>
      <c r="K196" s="591"/>
      <c r="L196" s="591" t="s">
        <v>312</v>
      </c>
      <c r="M196" s="593" t="s">
        <v>175</v>
      </c>
      <c r="N196" s="592">
        <v>19.2132675</v>
      </c>
    </row>
    <row r="197" s="539" customFormat="1" ht="15.95" customHeight="1" spans="1:10">
      <c r="A197" s="378" t="s">
        <v>314</v>
      </c>
      <c r="B197" s="575" t="s">
        <v>251</v>
      </c>
      <c r="C197" s="378" t="s">
        <v>193</v>
      </c>
      <c r="D197" s="552">
        <v>1</v>
      </c>
      <c r="E197" s="552"/>
      <c r="F197" s="553">
        <v>3851.82416192463</v>
      </c>
      <c r="G197" s="425"/>
      <c r="H197" s="425"/>
      <c r="I197" s="426">
        <f>SUM(I198:I203)</f>
        <v>0</v>
      </c>
      <c r="J197" s="437">
        <f t="shared" si="23"/>
        <v>0</v>
      </c>
    </row>
    <row r="198" s="539" customFormat="1" ht="15.95" customHeight="1" spans="1:10">
      <c r="A198" s="378"/>
      <c r="B198" s="575" t="s">
        <v>168</v>
      </c>
      <c r="C198" s="531" t="s">
        <v>252</v>
      </c>
      <c r="D198" s="552">
        <v>56.159376</v>
      </c>
      <c r="E198" s="552">
        <v>5.79967259622126</v>
      </c>
      <c r="F198" s="553">
        <v>325.705994008086</v>
      </c>
      <c r="G198" s="425"/>
      <c r="H198" s="425">
        <f t="shared" ref="H198:H203" si="24">H126</f>
        <v>5.59741698768686</v>
      </c>
      <c r="I198" s="426">
        <f t="shared" si="22"/>
        <v>0</v>
      </c>
      <c r="J198" s="437">
        <f t="shared" si="23"/>
        <v>0</v>
      </c>
    </row>
    <row r="199" s="539" customFormat="1" ht="15.95" customHeight="1" spans="1:10">
      <c r="A199" s="378"/>
      <c r="B199" s="575" t="s">
        <v>170</v>
      </c>
      <c r="C199" s="7" t="s">
        <v>169</v>
      </c>
      <c r="D199" s="552">
        <v>41.7186</v>
      </c>
      <c r="E199" s="552">
        <v>14.0473955850729</v>
      </c>
      <c r="F199" s="553">
        <v>586.037677455421</v>
      </c>
      <c r="G199" s="425"/>
      <c r="H199" s="425">
        <f t="shared" si="24"/>
        <v>13.9556177229579</v>
      </c>
      <c r="I199" s="426">
        <f t="shared" si="22"/>
        <v>0</v>
      </c>
      <c r="J199" s="437">
        <f t="shared" si="23"/>
        <v>0</v>
      </c>
    </row>
    <row r="200" s="539" customFormat="1" ht="15.95" customHeight="1" spans="1:10">
      <c r="A200" s="378"/>
      <c r="B200" s="575" t="s">
        <v>253</v>
      </c>
      <c r="C200" s="531" t="s">
        <v>252</v>
      </c>
      <c r="D200" s="552">
        <v>1.529619</v>
      </c>
      <c r="E200" s="552">
        <v>323.711665766842</v>
      </c>
      <c r="F200" s="553">
        <v>495.155514478611</v>
      </c>
      <c r="G200" s="425"/>
      <c r="H200" s="425">
        <f t="shared" si="24"/>
        <v>323.711665766842</v>
      </c>
      <c r="I200" s="426">
        <f t="shared" si="22"/>
        <v>0</v>
      </c>
      <c r="J200" s="437">
        <f t="shared" si="23"/>
        <v>0</v>
      </c>
    </row>
    <row r="201" s="539" customFormat="1" ht="15.95" customHeight="1" spans="1:10">
      <c r="A201" s="378"/>
      <c r="B201" s="575" t="s">
        <v>254</v>
      </c>
      <c r="C201" s="7" t="s">
        <v>169</v>
      </c>
      <c r="D201" s="552">
        <v>3.964338</v>
      </c>
      <c r="E201" s="552">
        <v>308.036941049453</v>
      </c>
      <c r="F201" s="553">
        <v>1221.16255080611</v>
      </c>
      <c r="G201" s="425"/>
      <c r="H201" s="425">
        <f t="shared" si="24"/>
        <v>308.036941049453</v>
      </c>
      <c r="I201" s="426">
        <f t="shared" si="22"/>
        <v>0</v>
      </c>
      <c r="J201" s="437">
        <f t="shared" si="23"/>
        <v>0</v>
      </c>
    </row>
    <row r="202" s="539" customFormat="1" ht="15.95" customHeight="1" spans="1:10">
      <c r="A202" s="378"/>
      <c r="B202" s="575" t="s">
        <v>255</v>
      </c>
      <c r="C202" s="531" t="s">
        <v>252</v>
      </c>
      <c r="D202" s="552">
        <v>1.529619</v>
      </c>
      <c r="E202" s="552">
        <v>598.653564585943</v>
      </c>
      <c r="F202" s="553">
        <v>915.711866808386</v>
      </c>
      <c r="G202" s="425"/>
      <c r="H202" s="425">
        <f t="shared" si="24"/>
        <v>598.616259510343</v>
      </c>
      <c r="I202" s="426">
        <f t="shared" si="22"/>
        <v>0</v>
      </c>
      <c r="J202" s="437">
        <f t="shared" si="23"/>
        <v>0</v>
      </c>
    </row>
    <row r="203" s="539" customFormat="1" ht="15.95" customHeight="1" spans="1:10">
      <c r="A203" s="378"/>
      <c r="B203" s="575" t="s">
        <v>256</v>
      </c>
      <c r="C203" s="531" t="s">
        <v>252</v>
      </c>
      <c r="D203" s="552">
        <v>0.58338</v>
      </c>
      <c r="E203" s="552">
        <v>528.044427933793</v>
      </c>
      <c r="F203" s="553">
        <v>308.050558368016</v>
      </c>
      <c r="G203" s="425"/>
      <c r="H203" s="425">
        <f t="shared" si="24"/>
        <v>528.027088954994</v>
      </c>
      <c r="I203" s="426">
        <f t="shared" si="22"/>
        <v>0</v>
      </c>
      <c r="J203" s="437">
        <f t="shared" si="23"/>
        <v>0</v>
      </c>
    </row>
    <row r="204" s="539" customFormat="1" ht="15.95" customHeight="1" spans="1:10">
      <c r="A204" s="378" t="s">
        <v>315</v>
      </c>
      <c r="B204" s="575" t="s">
        <v>258</v>
      </c>
      <c r="C204" s="378" t="s">
        <v>193</v>
      </c>
      <c r="D204" s="552">
        <v>1</v>
      </c>
      <c r="E204" s="552"/>
      <c r="F204" s="553">
        <v>26468.5366670798</v>
      </c>
      <c r="G204" s="425"/>
      <c r="H204" s="425"/>
      <c r="I204" s="426">
        <f>SUM(I205:I216)</f>
        <v>0</v>
      </c>
      <c r="J204" s="437">
        <f t="shared" si="23"/>
        <v>0</v>
      </c>
    </row>
    <row r="205" s="539" customFormat="1" ht="15.95" customHeight="1" spans="1:10">
      <c r="A205" s="378"/>
      <c r="B205" s="575" t="s">
        <v>168</v>
      </c>
      <c r="C205" s="531" t="s">
        <v>252</v>
      </c>
      <c r="D205" s="552">
        <v>17.439786</v>
      </c>
      <c r="E205" s="552">
        <v>5.79967259622126</v>
      </c>
      <c r="F205" s="553">
        <v>101.145048948163</v>
      </c>
      <c r="G205" s="425"/>
      <c r="H205" s="425">
        <f t="shared" ref="H205:H216" si="25">H133</f>
        <v>5.59741698768686</v>
      </c>
      <c r="I205" s="426">
        <f t="shared" si="22"/>
        <v>0</v>
      </c>
      <c r="J205" s="437">
        <f t="shared" ref="J205:J237" si="26">G205*H205</f>
        <v>0</v>
      </c>
    </row>
    <row r="206" s="539" customFormat="1" ht="15.95" customHeight="1" spans="1:10">
      <c r="A206" s="378"/>
      <c r="B206" s="575" t="s">
        <v>170</v>
      </c>
      <c r="C206" s="7" t="s">
        <v>169</v>
      </c>
      <c r="D206" s="552">
        <v>3.598686</v>
      </c>
      <c r="E206" s="552">
        <v>14.0473955850729</v>
      </c>
      <c r="F206" s="553">
        <v>50.5521658284635</v>
      </c>
      <c r="G206" s="425"/>
      <c r="H206" s="425">
        <f t="shared" si="25"/>
        <v>13.9556177229579</v>
      </c>
      <c r="I206" s="426">
        <f t="shared" si="22"/>
        <v>0</v>
      </c>
      <c r="J206" s="437">
        <f t="shared" si="26"/>
        <v>0</v>
      </c>
    </row>
    <row r="207" s="539" customFormat="1" ht="15.95" customHeight="1" spans="1:10">
      <c r="A207" s="378"/>
      <c r="B207" s="575" t="s">
        <v>259</v>
      </c>
      <c r="C207" s="7" t="s">
        <v>169</v>
      </c>
      <c r="D207" s="552">
        <v>1.55295</v>
      </c>
      <c r="E207" s="552">
        <v>608.165572985013</v>
      </c>
      <c r="F207" s="553">
        <v>944.450726567076</v>
      </c>
      <c r="G207" s="425"/>
      <c r="H207" s="425">
        <f t="shared" si="25"/>
        <v>599.220381309962</v>
      </c>
      <c r="I207" s="426">
        <f t="shared" si="22"/>
        <v>0</v>
      </c>
      <c r="J207" s="437">
        <f t="shared" si="26"/>
        <v>0</v>
      </c>
    </row>
    <row r="208" s="539" customFormat="1" ht="15.95" customHeight="1" spans="1:10">
      <c r="A208" s="378"/>
      <c r="B208" s="575" t="s">
        <v>260</v>
      </c>
      <c r="C208" s="7" t="s">
        <v>169</v>
      </c>
      <c r="D208" s="552">
        <v>3.15</v>
      </c>
      <c r="E208" s="552">
        <v>583.35148528897</v>
      </c>
      <c r="F208" s="553">
        <v>1837.55717866026</v>
      </c>
      <c r="G208" s="425"/>
      <c r="H208" s="425">
        <f t="shared" si="25"/>
        <v>583.257794671639</v>
      </c>
      <c r="I208" s="426">
        <f t="shared" si="22"/>
        <v>0</v>
      </c>
      <c r="J208" s="437">
        <f t="shared" si="26"/>
        <v>0</v>
      </c>
    </row>
    <row r="209" s="539" customFormat="1" ht="15.95" customHeight="1" spans="1:10">
      <c r="A209" s="378"/>
      <c r="B209" s="575" t="s">
        <v>261</v>
      </c>
      <c r="C209" s="7" t="s">
        <v>169</v>
      </c>
      <c r="D209" s="552">
        <v>2.59308</v>
      </c>
      <c r="E209" s="552">
        <v>608.165572985013</v>
      </c>
      <c r="F209" s="553">
        <v>1577.02198399598</v>
      </c>
      <c r="G209" s="425"/>
      <c r="H209" s="425">
        <f t="shared" si="25"/>
        <v>608.128267909413</v>
      </c>
      <c r="I209" s="426">
        <f t="shared" ref="I209:I237" si="27">G209*H209</f>
        <v>0</v>
      </c>
      <c r="J209" s="437">
        <f t="shared" si="26"/>
        <v>0</v>
      </c>
    </row>
    <row r="210" s="539" customFormat="1" ht="15.95" customHeight="1" spans="1:10">
      <c r="A210" s="378"/>
      <c r="B210" s="575" t="s">
        <v>262</v>
      </c>
      <c r="C210" s="7" t="s">
        <v>169</v>
      </c>
      <c r="D210" s="552">
        <v>0.5292</v>
      </c>
      <c r="E210" s="552">
        <v>770.879647119594</v>
      </c>
      <c r="F210" s="553">
        <v>407.949509255689</v>
      </c>
      <c r="G210" s="425"/>
      <c r="H210" s="425">
        <f t="shared" si="25"/>
        <v>769.910897357094</v>
      </c>
      <c r="I210" s="426">
        <f t="shared" si="27"/>
        <v>0</v>
      </c>
      <c r="J210" s="437">
        <f t="shared" si="26"/>
        <v>0</v>
      </c>
    </row>
    <row r="211" s="539" customFormat="1" ht="15.95" customHeight="1" spans="1:10">
      <c r="A211" s="378"/>
      <c r="B211" s="575" t="s">
        <v>263</v>
      </c>
      <c r="C211" s="7" t="s">
        <v>169</v>
      </c>
      <c r="D211" s="552">
        <v>0.63</v>
      </c>
      <c r="E211" s="552">
        <v>500.922568893264</v>
      </c>
      <c r="F211" s="553">
        <v>315.581218402756</v>
      </c>
      <c r="G211" s="425"/>
      <c r="H211" s="425">
        <f t="shared" si="25"/>
        <v>500.913286409664</v>
      </c>
      <c r="I211" s="426">
        <f t="shared" si="27"/>
        <v>0</v>
      </c>
      <c r="J211" s="437">
        <f t="shared" si="26"/>
        <v>0</v>
      </c>
    </row>
    <row r="212" s="539" customFormat="1" ht="15.95" customHeight="1" spans="1:10">
      <c r="A212" s="378"/>
      <c r="B212" s="575" t="s">
        <v>264</v>
      </c>
      <c r="C212" s="378" t="s">
        <v>200</v>
      </c>
      <c r="D212" s="552">
        <v>1.343475</v>
      </c>
      <c r="E212" s="552">
        <v>6547.06860221045</v>
      </c>
      <c r="F212" s="553">
        <v>8795.82299035468</v>
      </c>
      <c r="G212" s="425"/>
      <c r="H212" s="425">
        <f t="shared" si="25"/>
        <v>6774.28452813344</v>
      </c>
      <c r="I212" s="426">
        <f t="shared" si="27"/>
        <v>0</v>
      </c>
      <c r="J212" s="437">
        <f t="shared" si="26"/>
        <v>0</v>
      </c>
    </row>
    <row r="213" s="539" customFormat="1" ht="15.95" customHeight="1" spans="1:10">
      <c r="A213" s="378"/>
      <c r="B213" s="575" t="s">
        <v>265</v>
      </c>
      <c r="C213" s="378" t="s">
        <v>200</v>
      </c>
      <c r="D213" s="552">
        <v>1.365</v>
      </c>
      <c r="E213" s="552">
        <v>6874.42203232097</v>
      </c>
      <c r="F213" s="553">
        <v>9383.58607411813</v>
      </c>
      <c r="G213" s="425"/>
      <c r="H213" s="425">
        <f t="shared" si="25"/>
        <v>7112.99875454011</v>
      </c>
      <c r="I213" s="426">
        <f t="shared" si="27"/>
        <v>0</v>
      </c>
      <c r="J213" s="437">
        <f t="shared" si="26"/>
        <v>0</v>
      </c>
    </row>
    <row r="214" s="539" customFormat="1" ht="15.95" customHeight="1" spans="1:10">
      <c r="A214" s="378"/>
      <c r="B214" s="575" t="s">
        <v>266</v>
      </c>
      <c r="C214" s="378" t="s">
        <v>167</v>
      </c>
      <c r="D214" s="552">
        <v>9.723</v>
      </c>
      <c r="E214" s="552">
        <v>121.049652468226</v>
      </c>
      <c r="F214" s="553">
        <v>1176.96577094856</v>
      </c>
      <c r="G214" s="425"/>
      <c r="H214" s="425">
        <f t="shared" si="25"/>
        <v>121.049652468226</v>
      </c>
      <c r="I214" s="426">
        <f t="shared" si="27"/>
        <v>0</v>
      </c>
      <c r="J214" s="437">
        <f t="shared" si="26"/>
        <v>0</v>
      </c>
    </row>
    <row r="215" s="539" customFormat="1" ht="15.95" customHeight="1" spans="1:10">
      <c r="A215" s="378"/>
      <c r="B215" s="575" t="s">
        <v>267</v>
      </c>
      <c r="C215" s="378" t="s">
        <v>268</v>
      </c>
      <c r="D215" s="552">
        <v>0.94752</v>
      </c>
      <c r="E215" s="552">
        <v>450</v>
      </c>
      <c r="F215" s="553">
        <v>426.384</v>
      </c>
      <c r="G215" s="425"/>
      <c r="H215" s="425">
        <f t="shared" si="25"/>
        <v>450</v>
      </c>
      <c r="I215" s="426">
        <f t="shared" si="27"/>
        <v>0</v>
      </c>
      <c r="J215" s="437">
        <f t="shared" si="26"/>
        <v>0</v>
      </c>
    </row>
    <row r="216" s="539" customFormat="1" ht="15.95" customHeight="1" spans="1:10">
      <c r="A216" s="378"/>
      <c r="B216" s="575" t="s">
        <v>269</v>
      </c>
      <c r="C216" s="378" t="s">
        <v>268</v>
      </c>
      <c r="D216" s="552">
        <v>0.06048</v>
      </c>
      <c r="E216" s="552">
        <v>24000</v>
      </c>
      <c r="F216" s="553">
        <v>1451.52</v>
      </c>
      <c r="G216" s="425"/>
      <c r="H216" s="425">
        <f t="shared" si="25"/>
        <v>24000</v>
      </c>
      <c r="I216" s="426">
        <f t="shared" si="27"/>
        <v>0</v>
      </c>
      <c r="J216" s="437">
        <f t="shared" si="26"/>
        <v>0</v>
      </c>
    </row>
    <row r="217" s="539" customFormat="1" ht="15.95" customHeight="1" spans="1:10">
      <c r="A217" s="378" t="s">
        <v>316</v>
      </c>
      <c r="B217" s="575" t="s">
        <v>271</v>
      </c>
      <c r="C217" s="378" t="s">
        <v>167</v>
      </c>
      <c r="D217" s="552">
        <v>3.46</v>
      </c>
      <c r="E217" s="552"/>
      <c r="F217" s="553">
        <v>10986.3335647027</v>
      </c>
      <c r="G217" s="425"/>
      <c r="H217" s="425"/>
      <c r="I217" s="426">
        <f>SUM(I218:I222)</f>
        <v>0</v>
      </c>
      <c r="J217" s="437">
        <f t="shared" si="26"/>
        <v>0</v>
      </c>
    </row>
    <row r="218" s="539" customFormat="1" ht="15.95" customHeight="1" spans="1:10">
      <c r="A218" s="378"/>
      <c r="B218" s="575" t="s">
        <v>168</v>
      </c>
      <c r="C218" s="531" t="s">
        <v>252</v>
      </c>
      <c r="D218" s="552">
        <v>30.8805</v>
      </c>
      <c r="E218" s="552">
        <v>5.79967259622126</v>
      </c>
      <c r="F218" s="553">
        <v>179.096789607611</v>
      </c>
      <c r="G218" s="425"/>
      <c r="H218" s="425">
        <f>H146</f>
        <v>5.59741698768686</v>
      </c>
      <c r="I218" s="426">
        <f t="shared" si="27"/>
        <v>0</v>
      </c>
      <c r="J218" s="437">
        <f t="shared" si="26"/>
        <v>0</v>
      </c>
    </row>
    <row r="219" s="539" customFormat="1" ht="15.95" customHeight="1" spans="1:10">
      <c r="A219" s="378"/>
      <c r="B219" s="575" t="s">
        <v>170</v>
      </c>
      <c r="C219" s="7" t="s">
        <v>169</v>
      </c>
      <c r="D219" s="552">
        <v>9.30048</v>
      </c>
      <c r="E219" s="552">
        <v>14.0473955850729</v>
      </c>
      <c r="F219" s="553">
        <v>130.647521691059</v>
      </c>
      <c r="G219" s="425"/>
      <c r="H219" s="425">
        <f>H147</f>
        <v>13.9556177229579</v>
      </c>
      <c r="I219" s="426">
        <f t="shared" si="27"/>
        <v>0</v>
      </c>
      <c r="J219" s="437">
        <f t="shared" si="26"/>
        <v>0</v>
      </c>
    </row>
    <row r="220" s="539" customFormat="1" ht="15.95" customHeight="1" spans="1:10">
      <c r="A220" s="378"/>
      <c r="B220" s="575" t="s">
        <v>272</v>
      </c>
      <c r="C220" s="7" t="s">
        <v>169</v>
      </c>
      <c r="D220" s="552">
        <v>5.66748</v>
      </c>
      <c r="E220" s="552">
        <v>588.743089667626</v>
      </c>
      <c r="F220" s="553">
        <v>3336.68968582948</v>
      </c>
      <c r="G220" s="425"/>
      <c r="H220" s="425">
        <f>H148</f>
        <v>588.663400421626</v>
      </c>
      <c r="I220" s="426">
        <f t="shared" si="27"/>
        <v>0</v>
      </c>
      <c r="J220" s="437">
        <f t="shared" si="26"/>
        <v>0</v>
      </c>
    </row>
    <row r="221" s="539" customFormat="1" ht="15.95" customHeight="1" spans="1:10">
      <c r="A221" s="378"/>
      <c r="B221" s="575" t="s">
        <v>266</v>
      </c>
      <c r="C221" s="378" t="s">
        <v>167</v>
      </c>
      <c r="D221" s="552">
        <v>5.46</v>
      </c>
      <c r="E221" s="552">
        <v>121.049652468226</v>
      </c>
      <c r="F221" s="553">
        <v>660.931102476514</v>
      </c>
      <c r="G221" s="425"/>
      <c r="H221" s="425">
        <f>H149</f>
        <v>121.049652468226</v>
      </c>
      <c r="I221" s="426">
        <f t="shared" si="27"/>
        <v>0</v>
      </c>
      <c r="J221" s="437">
        <f t="shared" si="26"/>
        <v>0</v>
      </c>
    </row>
    <row r="222" s="539" customFormat="1" ht="15.95" customHeight="1" spans="1:10">
      <c r="A222" s="378"/>
      <c r="B222" s="575" t="s">
        <v>214</v>
      </c>
      <c r="C222" s="378" t="s">
        <v>200</v>
      </c>
      <c r="D222" s="552">
        <v>1.0201464</v>
      </c>
      <c r="E222" s="552">
        <v>6547.06860221045</v>
      </c>
      <c r="F222" s="553">
        <v>6678.96846509802</v>
      </c>
      <c r="G222" s="425"/>
      <c r="H222" s="425">
        <f>H150</f>
        <v>6774.28452813344</v>
      </c>
      <c r="I222" s="426">
        <f t="shared" si="27"/>
        <v>0</v>
      </c>
      <c r="J222" s="437">
        <f t="shared" si="26"/>
        <v>0</v>
      </c>
    </row>
    <row r="223" s="539" customFormat="1" ht="15.95" customHeight="1" spans="1:10">
      <c r="A223" s="378" t="s">
        <v>317</v>
      </c>
      <c r="B223" s="575" t="s">
        <v>274</v>
      </c>
      <c r="C223" s="378" t="s">
        <v>193</v>
      </c>
      <c r="D223" s="552">
        <v>1</v>
      </c>
      <c r="E223" s="552"/>
      <c r="F223" s="553">
        <v>97025.9838792521</v>
      </c>
      <c r="G223" s="425"/>
      <c r="H223" s="425"/>
      <c r="I223" s="426">
        <f>SUM(I224:I233)</f>
        <v>0</v>
      </c>
      <c r="J223" s="437">
        <f t="shared" si="26"/>
        <v>0</v>
      </c>
    </row>
    <row r="224" s="539" customFormat="1" ht="15.95" customHeight="1" spans="1:10">
      <c r="A224" s="378"/>
      <c r="B224" s="575" t="s">
        <v>168</v>
      </c>
      <c r="C224" s="378" t="s">
        <v>268</v>
      </c>
      <c r="D224" s="552">
        <v>66.15</v>
      </c>
      <c r="E224" s="552">
        <v>5.79967259622126</v>
      </c>
      <c r="F224" s="553">
        <v>383.648342240036</v>
      </c>
      <c r="G224" s="425"/>
      <c r="H224" s="425">
        <f t="shared" ref="H224:H233" si="28">H152</f>
        <v>5.59741698768686</v>
      </c>
      <c r="I224" s="426">
        <f t="shared" si="27"/>
        <v>0</v>
      </c>
      <c r="J224" s="437">
        <f t="shared" si="26"/>
        <v>0</v>
      </c>
    </row>
    <row r="225" s="539" customFormat="1" ht="15.95" customHeight="1" spans="1:10">
      <c r="A225" s="378"/>
      <c r="B225" s="575" t="s">
        <v>170</v>
      </c>
      <c r="C225" s="378" t="s">
        <v>268</v>
      </c>
      <c r="D225" s="552">
        <v>15.75</v>
      </c>
      <c r="E225" s="552">
        <v>14.0473955850729</v>
      </c>
      <c r="F225" s="553">
        <v>221.246480464898</v>
      </c>
      <c r="G225" s="425"/>
      <c r="H225" s="425">
        <f t="shared" si="28"/>
        <v>13.9556177229579</v>
      </c>
      <c r="I225" s="426">
        <f t="shared" si="27"/>
        <v>0</v>
      </c>
      <c r="J225" s="437">
        <f t="shared" si="26"/>
        <v>0</v>
      </c>
    </row>
    <row r="226" s="539" customFormat="1" ht="15.95" customHeight="1" spans="1:10">
      <c r="A226" s="378"/>
      <c r="B226" s="575" t="s">
        <v>275</v>
      </c>
      <c r="C226" s="378" t="s">
        <v>268</v>
      </c>
      <c r="D226" s="552">
        <v>29.1375</v>
      </c>
      <c r="E226" s="552">
        <v>608.165572985013</v>
      </c>
      <c r="F226" s="553">
        <v>17720.4243828508</v>
      </c>
      <c r="G226" s="425"/>
      <c r="H226" s="425">
        <f t="shared" si="28"/>
        <v>608.128267909413</v>
      </c>
      <c r="I226" s="426">
        <f t="shared" si="27"/>
        <v>0</v>
      </c>
      <c r="J226" s="437">
        <f t="shared" si="26"/>
        <v>0</v>
      </c>
    </row>
    <row r="227" s="539" customFormat="1" ht="15.95" customHeight="1" spans="1:10">
      <c r="A227" s="378"/>
      <c r="B227" s="575" t="s">
        <v>276</v>
      </c>
      <c r="C227" s="378" t="s">
        <v>268</v>
      </c>
      <c r="D227" s="552">
        <v>22.3146</v>
      </c>
      <c r="E227" s="552">
        <v>583.35148528897</v>
      </c>
      <c r="F227" s="553">
        <v>13017.2550536292</v>
      </c>
      <c r="G227" s="425"/>
      <c r="H227" s="425">
        <f t="shared" si="28"/>
        <v>583.257794671639</v>
      </c>
      <c r="I227" s="426">
        <f t="shared" si="27"/>
        <v>0</v>
      </c>
      <c r="J227" s="437">
        <f t="shared" si="26"/>
        <v>0</v>
      </c>
    </row>
    <row r="228" s="539" customFormat="1" ht="15.95" customHeight="1" spans="1:10">
      <c r="A228" s="378"/>
      <c r="B228" s="575" t="s">
        <v>263</v>
      </c>
      <c r="C228" s="378" t="s">
        <v>268</v>
      </c>
      <c r="D228" s="552">
        <v>3.4272</v>
      </c>
      <c r="E228" s="552">
        <v>500.922568893264</v>
      </c>
      <c r="F228" s="553">
        <v>1716.76182811099</v>
      </c>
      <c r="G228" s="425"/>
      <c r="H228" s="425">
        <f t="shared" si="28"/>
        <v>500.913286409664</v>
      </c>
      <c r="I228" s="426">
        <f t="shared" si="27"/>
        <v>0</v>
      </c>
      <c r="J228" s="437">
        <f t="shared" si="26"/>
        <v>0</v>
      </c>
    </row>
    <row r="229" s="539" customFormat="1" ht="15.95" customHeight="1" spans="1:10">
      <c r="A229" s="378"/>
      <c r="B229" s="575" t="s">
        <v>277</v>
      </c>
      <c r="C229" s="378" t="s">
        <v>268</v>
      </c>
      <c r="D229" s="552">
        <v>0.84</v>
      </c>
      <c r="E229" s="552">
        <v>917.455291776506</v>
      </c>
      <c r="F229" s="553">
        <v>770.662445092265</v>
      </c>
      <c r="G229" s="425"/>
      <c r="H229" s="425">
        <f t="shared" si="28"/>
        <v>915.810424006506</v>
      </c>
      <c r="I229" s="426">
        <f t="shared" si="27"/>
        <v>0</v>
      </c>
      <c r="J229" s="437">
        <f t="shared" si="26"/>
        <v>0</v>
      </c>
    </row>
    <row r="230" s="539" customFormat="1" ht="15.95" customHeight="1" spans="1:10">
      <c r="A230" s="378"/>
      <c r="B230" s="575" t="s">
        <v>214</v>
      </c>
      <c r="C230" s="378" t="s">
        <v>200</v>
      </c>
      <c r="D230" s="552">
        <v>9.26478</v>
      </c>
      <c r="E230" s="552">
        <v>6547.06860221045</v>
      </c>
      <c r="F230" s="553">
        <v>60657.1502443873</v>
      </c>
      <c r="G230" s="425"/>
      <c r="H230" s="425">
        <f t="shared" si="28"/>
        <v>6774.28452813344</v>
      </c>
      <c r="I230" s="426">
        <f t="shared" si="27"/>
        <v>0</v>
      </c>
      <c r="J230" s="437">
        <f t="shared" si="26"/>
        <v>0</v>
      </c>
    </row>
    <row r="231" s="539" customFormat="1" ht="15.95" customHeight="1" spans="1:10">
      <c r="A231" s="378"/>
      <c r="B231" s="575" t="s">
        <v>266</v>
      </c>
      <c r="C231" s="378" t="s">
        <v>167</v>
      </c>
      <c r="D231" s="552">
        <v>5.46</v>
      </c>
      <c r="E231" s="552">
        <v>121.049652468226</v>
      </c>
      <c r="F231" s="553">
        <v>660.931102476514</v>
      </c>
      <c r="G231" s="425"/>
      <c r="H231" s="425">
        <f t="shared" si="28"/>
        <v>121.049652468226</v>
      </c>
      <c r="I231" s="426">
        <f t="shared" si="27"/>
        <v>0</v>
      </c>
      <c r="J231" s="437">
        <f t="shared" si="26"/>
        <v>0</v>
      </c>
    </row>
    <row r="232" s="539" customFormat="1" ht="15.95" customHeight="1" spans="1:10">
      <c r="A232" s="378"/>
      <c r="B232" s="575" t="s">
        <v>267</v>
      </c>
      <c r="C232" s="378" t="s">
        <v>268</v>
      </c>
      <c r="D232" s="552">
        <v>0.94752</v>
      </c>
      <c r="E232" s="552">
        <v>450</v>
      </c>
      <c r="F232" s="553">
        <v>426.384</v>
      </c>
      <c r="G232" s="425"/>
      <c r="H232" s="425">
        <f t="shared" si="28"/>
        <v>450</v>
      </c>
      <c r="I232" s="426">
        <f t="shared" si="27"/>
        <v>0</v>
      </c>
      <c r="J232" s="437">
        <f t="shared" si="26"/>
        <v>0</v>
      </c>
    </row>
    <row r="233" s="539" customFormat="1" ht="15.95" customHeight="1" spans="1:10">
      <c r="A233" s="378"/>
      <c r="B233" s="575" t="s">
        <v>269</v>
      </c>
      <c r="C233" s="378" t="s">
        <v>268</v>
      </c>
      <c r="D233" s="552">
        <v>0.06048</v>
      </c>
      <c r="E233" s="552">
        <v>24000</v>
      </c>
      <c r="F233" s="553">
        <v>1451.52</v>
      </c>
      <c r="G233" s="425"/>
      <c r="H233" s="425">
        <f t="shared" si="28"/>
        <v>24000</v>
      </c>
      <c r="I233" s="426">
        <f t="shared" si="27"/>
        <v>0</v>
      </c>
      <c r="J233" s="437">
        <f t="shared" si="26"/>
        <v>0</v>
      </c>
    </row>
    <row r="234" s="539" customFormat="1" ht="15.95" customHeight="1" spans="1:14">
      <c r="A234" s="378" t="s">
        <v>314</v>
      </c>
      <c r="B234" s="11" t="s">
        <v>278</v>
      </c>
      <c r="C234" s="7" t="s">
        <v>193</v>
      </c>
      <c r="D234" s="552">
        <v>1</v>
      </c>
      <c r="E234" s="552"/>
      <c r="F234" s="553">
        <v>131191.504143373</v>
      </c>
      <c r="G234" s="425">
        <v>1</v>
      </c>
      <c r="H234" s="425"/>
      <c r="I234" s="426">
        <f>SUM(I235:I245)</f>
        <v>195410.702075492</v>
      </c>
      <c r="J234" s="437">
        <f t="shared" si="26"/>
        <v>0</v>
      </c>
      <c r="K234" s="591">
        <v>1.2</v>
      </c>
      <c r="L234" s="591" t="s">
        <v>313</v>
      </c>
      <c r="M234" s="591" t="s">
        <v>193</v>
      </c>
      <c r="N234" s="592"/>
    </row>
    <row r="235" s="539" customFormat="1" ht="15.95" customHeight="1" spans="1:14">
      <c r="A235" s="378"/>
      <c r="B235" s="470" t="s">
        <v>279</v>
      </c>
      <c r="C235" s="471" t="s">
        <v>169</v>
      </c>
      <c r="D235" s="577">
        <v>47.25</v>
      </c>
      <c r="E235" s="577">
        <v>9.54247132741747</v>
      </c>
      <c r="F235" s="578">
        <v>450.881770220475</v>
      </c>
      <c r="G235" s="425">
        <v>184.88</v>
      </c>
      <c r="H235" s="425">
        <f>H163</f>
        <v>9.15967136570967</v>
      </c>
      <c r="I235" s="426">
        <f t="shared" si="27"/>
        <v>1693.4400420924</v>
      </c>
      <c r="J235" s="437">
        <f t="shared" si="26"/>
        <v>1693.4400420924</v>
      </c>
      <c r="K235" s="591" t="s">
        <v>314</v>
      </c>
      <c r="L235" s="591" t="s">
        <v>278</v>
      </c>
      <c r="M235" s="591" t="s">
        <v>193</v>
      </c>
      <c r="N235" s="592">
        <v>1</v>
      </c>
    </row>
    <row r="236" s="539" customFormat="1" ht="15.95" customHeight="1" spans="1:14">
      <c r="A236" s="378"/>
      <c r="B236" s="406" t="s">
        <v>280</v>
      </c>
      <c r="C236" s="7" t="s">
        <v>169</v>
      </c>
      <c r="D236" s="552">
        <v>393.75</v>
      </c>
      <c r="E236" s="552">
        <v>5.79967259622126</v>
      </c>
      <c r="F236" s="553">
        <v>2283.62108476212</v>
      </c>
      <c r="G236" s="425">
        <v>396.45</v>
      </c>
      <c r="H236" s="425">
        <f>H164</f>
        <v>5.59741698768686</v>
      </c>
      <c r="I236" s="426">
        <f t="shared" si="27"/>
        <v>2219.09596476846</v>
      </c>
      <c r="J236" s="437">
        <f t="shared" si="26"/>
        <v>2219.09596476846</v>
      </c>
      <c r="K236" s="591"/>
      <c r="L236" s="592" t="s">
        <v>279</v>
      </c>
      <c r="M236" s="591" t="s">
        <v>169</v>
      </c>
      <c r="N236" s="592">
        <v>184.884</v>
      </c>
    </row>
    <row r="237" s="539" customFormat="1" ht="15.95" customHeight="1" spans="1:14">
      <c r="A237" s="378"/>
      <c r="B237" s="406" t="s">
        <v>281</v>
      </c>
      <c r="C237" s="7" t="s">
        <v>169</v>
      </c>
      <c r="D237" s="552">
        <v>315</v>
      </c>
      <c r="E237" s="552">
        <v>14.0473955850729</v>
      </c>
      <c r="F237" s="553">
        <v>4424.92960929795</v>
      </c>
      <c r="G237" s="425">
        <v>312.36</v>
      </c>
      <c r="H237" s="425">
        <f>H165</f>
        <v>13.9556177229579</v>
      </c>
      <c r="I237" s="426">
        <f t="shared" si="27"/>
        <v>4359.17675194312</v>
      </c>
      <c r="J237" s="437">
        <f t="shared" si="26"/>
        <v>4359.17675194312</v>
      </c>
      <c r="K237" s="591"/>
      <c r="L237" s="591" t="s">
        <v>280</v>
      </c>
      <c r="M237" s="591" t="s">
        <v>169</v>
      </c>
      <c r="N237" s="592">
        <v>396.45</v>
      </c>
    </row>
    <row r="238" s="539" customFormat="1" ht="15.95" customHeight="1" spans="1:14">
      <c r="A238" s="378"/>
      <c r="B238" s="366" t="s">
        <v>282</v>
      </c>
      <c r="C238" s="384" t="s">
        <v>169</v>
      </c>
      <c r="D238" s="552"/>
      <c r="E238" s="552"/>
      <c r="F238" s="553"/>
      <c r="G238" s="425">
        <v>19</v>
      </c>
      <c r="H238" s="425">
        <f>H166</f>
        <v>583.257794671639</v>
      </c>
      <c r="I238" s="426">
        <f t="shared" ref="I238:I245" si="29">G238*H238</f>
        <v>11081.8980987611</v>
      </c>
      <c r="J238" s="437">
        <f t="shared" ref="J238:J245" si="30">G238*H238</f>
        <v>11081.8980987611</v>
      </c>
      <c r="K238" s="591"/>
      <c r="L238" s="591" t="s">
        <v>284</v>
      </c>
      <c r="M238" s="591" t="s">
        <v>169</v>
      </c>
      <c r="N238" s="592">
        <v>312.36</v>
      </c>
    </row>
    <row r="239" s="539" customFormat="1" ht="15.95" customHeight="1" spans="1:14">
      <c r="A239" s="378"/>
      <c r="B239" s="366" t="s">
        <v>283</v>
      </c>
      <c r="C239" s="384" t="s">
        <v>169</v>
      </c>
      <c r="D239" s="552"/>
      <c r="E239" s="552"/>
      <c r="F239" s="553"/>
      <c r="G239" s="425">
        <v>51.05</v>
      </c>
      <c r="H239" s="425">
        <f t="shared" ref="H239:H245" si="31">H167</f>
        <v>217.66</v>
      </c>
      <c r="I239" s="426">
        <f t="shared" si="29"/>
        <v>11111.543</v>
      </c>
      <c r="J239" s="437">
        <f t="shared" si="30"/>
        <v>11111.543</v>
      </c>
      <c r="K239" s="591"/>
      <c r="L239" s="591" t="s">
        <v>282</v>
      </c>
      <c r="M239" s="591" t="s">
        <v>169</v>
      </c>
      <c r="N239" s="592">
        <v>19.00368</v>
      </c>
    </row>
    <row r="240" s="539" customFormat="1" ht="15.95" customHeight="1" spans="1:14">
      <c r="A240" s="378"/>
      <c r="B240" s="366" t="s">
        <v>285</v>
      </c>
      <c r="C240" s="384" t="s">
        <v>169</v>
      </c>
      <c r="D240" s="552"/>
      <c r="E240" s="552"/>
      <c r="F240" s="553"/>
      <c r="G240" s="425">
        <v>67.35</v>
      </c>
      <c r="H240" s="425">
        <f t="shared" si="31"/>
        <v>12.9724899040303</v>
      </c>
      <c r="I240" s="426">
        <f t="shared" si="29"/>
        <v>873.697195036443</v>
      </c>
      <c r="J240" s="437">
        <f t="shared" si="30"/>
        <v>873.697195036443</v>
      </c>
      <c r="K240" s="591"/>
      <c r="L240" s="591" t="s">
        <v>283</v>
      </c>
      <c r="M240" s="591" t="s">
        <v>169</v>
      </c>
      <c r="N240" s="592">
        <v>51.0496</v>
      </c>
    </row>
    <row r="241" s="539" customFormat="1" ht="15.95" customHeight="1" spans="1:14">
      <c r="A241" s="378"/>
      <c r="B241" s="473" t="s">
        <v>286</v>
      </c>
      <c r="C241" s="474" t="s">
        <v>169</v>
      </c>
      <c r="D241" s="580">
        <v>0.2268</v>
      </c>
      <c r="E241" s="580">
        <v>564.689943089687</v>
      </c>
      <c r="F241" s="581">
        <v>128.071679092741</v>
      </c>
      <c r="G241" s="425"/>
      <c r="H241" s="425">
        <f t="shared" si="31"/>
        <v>564.674705805287</v>
      </c>
      <c r="I241" s="426">
        <f t="shared" si="29"/>
        <v>0</v>
      </c>
      <c r="J241" s="437">
        <f t="shared" si="30"/>
        <v>0</v>
      </c>
      <c r="K241" s="591"/>
      <c r="L241" s="591" t="s">
        <v>285</v>
      </c>
      <c r="M241" s="591" t="s">
        <v>169</v>
      </c>
      <c r="N241" s="592">
        <v>67.3524</v>
      </c>
    </row>
    <row r="242" s="539" customFormat="1" ht="15.95" customHeight="1" spans="1:14">
      <c r="A242" s="378"/>
      <c r="B242" s="582" t="s">
        <v>287</v>
      </c>
      <c r="C242" s="474" t="s">
        <v>169</v>
      </c>
      <c r="D242" s="580"/>
      <c r="E242" s="580"/>
      <c r="F242" s="581"/>
      <c r="G242" s="425">
        <v>0.22</v>
      </c>
      <c r="H242" s="425">
        <f t="shared" si="31"/>
        <v>574.648992970568</v>
      </c>
      <c r="I242" s="426">
        <f t="shared" si="29"/>
        <v>126.422778453525</v>
      </c>
      <c r="J242" s="437">
        <f t="shared" si="30"/>
        <v>126.422778453525</v>
      </c>
      <c r="K242" s="591"/>
      <c r="L242" s="591" t="s">
        <v>287</v>
      </c>
      <c r="M242" s="591" t="s">
        <v>169</v>
      </c>
      <c r="N242" s="592">
        <v>0.216</v>
      </c>
    </row>
    <row r="243" s="539" customFormat="1" ht="15.95" customHeight="1" spans="1:14">
      <c r="A243" s="378"/>
      <c r="B243" s="582" t="s">
        <v>288</v>
      </c>
      <c r="C243" s="474" t="s">
        <v>169</v>
      </c>
      <c r="D243" s="580"/>
      <c r="E243" s="580"/>
      <c r="F243" s="581"/>
      <c r="G243" s="425">
        <v>12.67</v>
      </c>
      <c r="H243" s="425">
        <f t="shared" si="31"/>
        <v>500.913286409664</v>
      </c>
      <c r="I243" s="426">
        <f t="shared" si="29"/>
        <v>6346.57133881044</v>
      </c>
      <c r="J243" s="437">
        <f t="shared" si="30"/>
        <v>6346.57133881044</v>
      </c>
      <c r="K243" s="591"/>
      <c r="L243" s="591" t="s">
        <v>288</v>
      </c>
      <c r="M243" s="591" t="s">
        <v>169</v>
      </c>
      <c r="N243" s="592">
        <v>12.67</v>
      </c>
    </row>
    <row r="244" s="539" customFormat="1" ht="15.95" customHeight="1" spans="1:14">
      <c r="A244" s="378"/>
      <c r="B244" s="582" t="s">
        <v>214</v>
      </c>
      <c r="C244" s="474" t="s">
        <v>200</v>
      </c>
      <c r="D244" s="580"/>
      <c r="E244" s="580"/>
      <c r="F244" s="581"/>
      <c r="G244" s="425">
        <v>0.2</v>
      </c>
      <c r="H244" s="425">
        <f t="shared" si="31"/>
        <v>6774.28452813344</v>
      </c>
      <c r="I244" s="426">
        <f t="shared" si="29"/>
        <v>1354.85690562669</v>
      </c>
      <c r="J244" s="437">
        <f t="shared" si="30"/>
        <v>1354.85690562669</v>
      </c>
      <c r="K244" s="591"/>
      <c r="L244" s="591" t="s">
        <v>214</v>
      </c>
      <c r="M244" s="591" t="s">
        <v>200</v>
      </c>
      <c r="N244" s="592">
        <v>0.204</v>
      </c>
    </row>
    <row r="245" s="539" customFormat="1" ht="15.95" customHeight="1" spans="1:14">
      <c r="A245" s="378"/>
      <c r="B245" s="11" t="s">
        <v>289</v>
      </c>
      <c r="C245" s="471" t="s">
        <v>175</v>
      </c>
      <c r="D245" s="577">
        <v>56.32</v>
      </c>
      <c r="E245" s="577">
        <v>2200</v>
      </c>
      <c r="F245" s="578">
        <v>123904</v>
      </c>
      <c r="G245" s="425">
        <v>71.02</v>
      </c>
      <c r="H245" s="425">
        <f t="shared" si="31"/>
        <v>2200</v>
      </c>
      <c r="I245" s="426">
        <f t="shared" si="29"/>
        <v>156244</v>
      </c>
      <c r="J245" s="437">
        <f t="shared" si="30"/>
        <v>156244</v>
      </c>
      <c r="K245" s="591"/>
      <c r="L245" s="591" t="s">
        <v>289</v>
      </c>
      <c r="M245" s="591" t="s">
        <v>175</v>
      </c>
      <c r="N245" s="592">
        <v>63.35</v>
      </c>
    </row>
    <row r="246" s="539" customFormat="1" ht="15.95" customHeight="1" spans="1:14">
      <c r="A246" s="384" t="s">
        <v>315</v>
      </c>
      <c r="B246" s="583" t="s">
        <v>290</v>
      </c>
      <c r="C246" s="584"/>
      <c r="D246" s="577"/>
      <c r="E246" s="577"/>
      <c r="F246" s="578"/>
      <c r="G246" s="425"/>
      <c r="H246" s="425"/>
      <c r="I246" s="426">
        <f>SUM(I247:I259)</f>
        <v>115046.19516263</v>
      </c>
      <c r="J246" s="437">
        <f t="shared" ref="J246:J267" si="32">G246*H246</f>
        <v>0</v>
      </c>
      <c r="K246" s="591" t="s">
        <v>315</v>
      </c>
      <c r="L246" s="591" t="s">
        <v>290</v>
      </c>
      <c r="M246" s="591"/>
      <c r="N246" s="593"/>
    </row>
    <row r="247" s="539" customFormat="1" ht="15.95" customHeight="1" spans="1:14">
      <c r="A247" s="384"/>
      <c r="B247" s="415" t="s">
        <v>291</v>
      </c>
      <c r="C247" s="384" t="s">
        <v>169</v>
      </c>
      <c r="D247" s="577"/>
      <c r="E247" s="577"/>
      <c r="F247" s="578"/>
      <c r="G247" s="425">
        <v>309.402624</v>
      </c>
      <c r="H247" s="425">
        <f>H175</f>
        <v>5.59741698768686</v>
      </c>
      <c r="I247" s="426">
        <f t="shared" ref="I247:I259" si="33">G247*H247</f>
        <v>1731.85550361249</v>
      </c>
      <c r="J247" s="437">
        <f t="shared" si="32"/>
        <v>1731.85550361249</v>
      </c>
      <c r="K247" s="591"/>
      <c r="L247" s="591" t="s">
        <v>291</v>
      </c>
      <c r="M247" s="591" t="s">
        <v>169</v>
      </c>
      <c r="N247" s="592">
        <v>309.402624</v>
      </c>
    </row>
    <row r="248" s="539" customFormat="1" ht="15.95" customHeight="1" spans="1:14">
      <c r="A248" s="384"/>
      <c r="B248" s="415" t="s">
        <v>292</v>
      </c>
      <c r="C248" s="384" t="s">
        <v>169</v>
      </c>
      <c r="D248" s="577"/>
      <c r="E248" s="577"/>
      <c r="F248" s="578"/>
      <c r="G248" s="425">
        <v>100.0224</v>
      </c>
      <c r="H248" s="425">
        <f t="shared" ref="H248:H259" si="34">H176</f>
        <v>13.9556177229579</v>
      </c>
      <c r="I248" s="426">
        <f t="shared" si="33"/>
        <v>1395.87437813278</v>
      </c>
      <c r="J248" s="437">
        <f t="shared" si="32"/>
        <v>1395.87437813278</v>
      </c>
      <c r="K248" s="591"/>
      <c r="L248" s="591" t="s">
        <v>292</v>
      </c>
      <c r="M248" s="591" t="s">
        <v>169</v>
      </c>
      <c r="N248" s="592">
        <v>100.0224</v>
      </c>
    </row>
    <row r="249" s="539" customFormat="1" ht="15.95" customHeight="1" spans="1:14">
      <c r="A249" s="384"/>
      <c r="B249" s="415" t="s">
        <v>293</v>
      </c>
      <c r="C249" s="384" t="s">
        <v>169</v>
      </c>
      <c r="D249" s="577"/>
      <c r="E249" s="577"/>
      <c r="F249" s="578"/>
      <c r="G249" s="425">
        <v>57.1642</v>
      </c>
      <c r="H249" s="425">
        <f t="shared" si="34"/>
        <v>977.945649219147</v>
      </c>
      <c r="I249" s="426">
        <f t="shared" si="33"/>
        <v>55903.4806810932</v>
      </c>
      <c r="J249" s="437">
        <f t="shared" si="32"/>
        <v>55903.4806810932</v>
      </c>
      <c r="K249" s="591"/>
      <c r="L249" s="591" t="s">
        <v>293</v>
      </c>
      <c r="M249" s="591" t="s">
        <v>169</v>
      </c>
      <c r="N249" s="592">
        <v>57.1642</v>
      </c>
    </row>
    <row r="250" s="539" customFormat="1" ht="15.95" customHeight="1" spans="1:14">
      <c r="A250" s="384"/>
      <c r="B250" s="415" t="s">
        <v>294</v>
      </c>
      <c r="C250" s="384" t="s">
        <v>169</v>
      </c>
      <c r="D250" s="577"/>
      <c r="E250" s="577"/>
      <c r="F250" s="578"/>
      <c r="G250" s="425">
        <v>15.71556</v>
      </c>
      <c r="H250" s="425">
        <f t="shared" si="34"/>
        <v>583.06661449156</v>
      </c>
      <c r="I250" s="426">
        <f t="shared" si="33"/>
        <v>9163.21836403898</v>
      </c>
      <c r="J250" s="437">
        <f t="shared" si="32"/>
        <v>9163.21836403898</v>
      </c>
      <c r="K250" s="591"/>
      <c r="L250" s="591" t="s">
        <v>294</v>
      </c>
      <c r="M250" s="591" t="s">
        <v>169</v>
      </c>
      <c r="N250" s="592">
        <v>15.71556</v>
      </c>
    </row>
    <row r="251" s="539" customFormat="1" ht="15.95" customHeight="1" spans="1:14">
      <c r="A251" s="384"/>
      <c r="B251" s="415" t="s">
        <v>295</v>
      </c>
      <c r="C251" s="384" t="s">
        <v>169</v>
      </c>
      <c r="D251" s="577"/>
      <c r="E251" s="577"/>
      <c r="F251" s="578"/>
      <c r="G251" s="425">
        <v>0.968</v>
      </c>
      <c r="H251" s="425">
        <f t="shared" si="34"/>
        <v>574.648992970568</v>
      </c>
      <c r="I251" s="426">
        <f t="shared" si="33"/>
        <v>556.26022519551</v>
      </c>
      <c r="J251" s="437">
        <f t="shared" si="32"/>
        <v>556.26022519551</v>
      </c>
      <c r="K251" s="591"/>
      <c r="L251" s="591" t="s">
        <v>295</v>
      </c>
      <c r="M251" s="591" t="s">
        <v>169</v>
      </c>
      <c r="N251" s="592">
        <v>0.968</v>
      </c>
    </row>
    <row r="252" s="539" customFormat="1" ht="15.95" customHeight="1" spans="1:14">
      <c r="A252" s="384"/>
      <c r="B252" s="415" t="s">
        <v>296</v>
      </c>
      <c r="C252" s="384" t="s">
        <v>169</v>
      </c>
      <c r="D252" s="577"/>
      <c r="E252" s="577"/>
      <c r="F252" s="578"/>
      <c r="G252" s="425">
        <v>1</v>
      </c>
      <c r="H252" s="425">
        <f t="shared" si="34"/>
        <v>608.128267909413</v>
      </c>
      <c r="I252" s="426">
        <f t="shared" si="33"/>
        <v>608.128267909413</v>
      </c>
      <c r="J252" s="437">
        <f t="shared" si="32"/>
        <v>608.128267909413</v>
      </c>
      <c r="K252" s="591"/>
      <c r="L252" s="591" t="s">
        <v>296</v>
      </c>
      <c r="M252" s="591" t="s">
        <v>169</v>
      </c>
      <c r="N252" s="592">
        <v>1</v>
      </c>
    </row>
    <row r="253" s="539" customFormat="1" ht="15.95" customHeight="1" spans="1:14">
      <c r="A253" s="384"/>
      <c r="B253" s="415" t="s">
        <v>297</v>
      </c>
      <c r="C253" s="384" t="s">
        <v>169</v>
      </c>
      <c r="D253" s="577"/>
      <c r="E253" s="577"/>
      <c r="F253" s="578"/>
      <c r="G253" s="425">
        <v>2.24508</v>
      </c>
      <c r="H253" s="425">
        <f t="shared" si="34"/>
        <v>500.913286409664</v>
      </c>
      <c r="I253" s="426">
        <f t="shared" si="33"/>
        <v>1124.59040105261</v>
      </c>
      <c r="J253" s="437">
        <f t="shared" si="32"/>
        <v>1124.59040105261</v>
      </c>
      <c r="K253" s="591"/>
      <c r="L253" s="591" t="s">
        <v>297</v>
      </c>
      <c r="M253" s="591" t="s">
        <v>169</v>
      </c>
      <c r="N253" s="592">
        <v>2.24508</v>
      </c>
    </row>
    <row r="254" s="539" customFormat="1" ht="15.95" customHeight="1" spans="1:14">
      <c r="A254" s="384"/>
      <c r="B254" s="415" t="s">
        <v>298</v>
      </c>
      <c r="C254" s="384" t="s">
        <v>169</v>
      </c>
      <c r="D254" s="577"/>
      <c r="E254" s="577"/>
      <c r="F254" s="578"/>
      <c r="G254" s="425">
        <v>0.484</v>
      </c>
      <c r="H254" s="425">
        <f t="shared" si="34"/>
        <v>583.06661449156</v>
      </c>
      <c r="I254" s="426">
        <f t="shared" si="33"/>
        <v>282.204241413915</v>
      </c>
      <c r="J254" s="437">
        <f t="shared" si="32"/>
        <v>282.204241413915</v>
      </c>
      <c r="K254" s="591"/>
      <c r="L254" s="591" t="s">
        <v>298</v>
      </c>
      <c r="M254" s="591" t="s">
        <v>169</v>
      </c>
      <c r="N254" s="592">
        <v>0.484</v>
      </c>
    </row>
    <row r="255" s="539" customFormat="1" ht="15.95" customHeight="1" spans="1:14">
      <c r="A255" s="384"/>
      <c r="B255" s="415" t="s">
        <v>214</v>
      </c>
      <c r="C255" s="384" t="s">
        <v>200</v>
      </c>
      <c r="D255" s="577"/>
      <c r="E255" s="577"/>
      <c r="F255" s="578"/>
      <c r="G255" s="425">
        <v>0.74367513472</v>
      </c>
      <c r="H255" s="425">
        <f t="shared" si="34"/>
        <v>6774.28452813344</v>
      </c>
      <c r="I255" s="426">
        <f t="shared" si="33"/>
        <v>5037.86695909125</v>
      </c>
      <c r="J255" s="437">
        <f t="shared" si="32"/>
        <v>5037.86695909125</v>
      </c>
      <c r="K255" s="591"/>
      <c r="L255" s="591" t="s">
        <v>214</v>
      </c>
      <c r="M255" s="591" t="s">
        <v>200</v>
      </c>
      <c r="N255" s="592">
        <v>0.74367513472</v>
      </c>
    </row>
    <row r="256" s="539" customFormat="1" ht="15.95" customHeight="1" spans="1:14">
      <c r="A256" s="384"/>
      <c r="B256" s="415" t="s">
        <v>299</v>
      </c>
      <c r="C256" s="384" t="s">
        <v>200</v>
      </c>
      <c r="D256" s="577"/>
      <c r="E256" s="577"/>
      <c r="F256" s="578"/>
      <c r="G256" s="425">
        <v>1.35</v>
      </c>
      <c r="H256" s="425">
        <f t="shared" si="34"/>
        <v>7112.99875454011</v>
      </c>
      <c r="I256" s="426">
        <f t="shared" si="33"/>
        <v>9602.54831862915</v>
      </c>
      <c r="J256" s="437">
        <f t="shared" si="32"/>
        <v>9602.54831862915</v>
      </c>
      <c r="K256" s="591"/>
      <c r="L256" s="591" t="s">
        <v>299</v>
      </c>
      <c r="M256" s="591" t="s">
        <v>200</v>
      </c>
      <c r="N256" s="592">
        <v>1.35</v>
      </c>
    </row>
    <row r="257" s="539" customFormat="1" ht="15.95" customHeight="1" spans="1:14">
      <c r="A257" s="384"/>
      <c r="B257" s="415" t="s">
        <v>300</v>
      </c>
      <c r="C257" s="384" t="s">
        <v>200</v>
      </c>
      <c r="D257" s="577"/>
      <c r="E257" s="577"/>
      <c r="F257" s="578"/>
      <c r="G257" s="425">
        <v>1.56</v>
      </c>
      <c r="H257" s="425">
        <f t="shared" si="34"/>
        <v>7112.99875454011</v>
      </c>
      <c r="I257" s="426">
        <f t="shared" si="33"/>
        <v>11096.2780570826</v>
      </c>
      <c r="J257" s="437">
        <f t="shared" si="32"/>
        <v>11096.2780570826</v>
      </c>
      <c r="K257" s="591"/>
      <c r="L257" s="591" t="s">
        <v>300</v>
      </c>
      <c r="M257" s="591" t="s">
        <v>200</v>
      </c>
      <c r="N257" s="592">
        <v>1.56</v>
      </c>
    </row>
    <row r="258" s="539" customFormat="1" ht="15.95" customHeight="1" spans="1:14">
      <c r="A258" s="384"/>
      <c r="B258" s="415" t="s">
        <v>301</v>
      </c>
      <c r="C258" s="384" t="s">
        <v>169</v>
      </c>
      <c r="D258" s="577"/>
      <c r="E258" s="577"/>
      <c r="F258" s="578"/>
      <c r="G258" s="425">
        <v>0.72</v>
      </c>
      <c r="H258" s="425">
        <f t="shared" si="34"/>
        <v>24000</v>
      </c>
      <c r="I258" s="426">
        <f t="shared" si="33"/>
        <v>17280</v>
      </c>
      <c r="J258" s="437">
        <f t="shared" si="32"/>
        <v>17280</v>
      </c>
      <c r="K258" s="591"/>
      <c r="L258" s="591" t="s">
        <v>301</v>
      </c>
      <c r="M258" s="591" t="s">
        <v>169</v>
      </c>
      <c r="N258" s="592">
        <v>0.72</v>
      </c>
    </row>
    <row r="259" s="539" customFormat="1" ht="15.95" customHeight="1" spans="1:14">
      <c r="A259" s="384"/>
      <c r="B259" s="415" t="s">
        <v>302</v>
      </c>
      <c r="C259" s="384" t="s">
        <v>175</v>
      </c>
      <c r="D259" s="577"/>
      <c r="E259" s="577"/>
      <c r="F259" s="578"/>
      <c r="G259" s="425">
        <v>5.8</v>
      </c>
      <c r="H259" s="425">
        <f t="shared" si="34"/>
        <v>217.912028513414</v>
      </c>
      <c r="I259" s="426">
        <f t="shared" si="33"/>
        <v>1263.8897653778</v>
      </c>
      <c r="J259" s="437">
        <f t="shared" si="32"/>
        <v>1263.8897653778</v>
      </c>
      <c r="K259" s="591"/>
      <c r="L259" s="591" t="s">
        <v>302</v>
      </c>
      <c r="M259" s="591" t="s">
        <v>175</v>
      </c>
      <c r="N259" s="592">
        <v>5.8</v>
      </c>
    </row>
    <row r="260" s="539" customFormat="1" ht="15.95" customHeight="1" spans="1:14">
      <c r="A260" s="378" t="s">
        <v>316</v>
      </c>
      <c r="B260" s="477" t="s">
        <v>303</v>
      </c>
      <c r="C260" s="478" t="s">
        <v>193</v>
      </c>
      <c r="D260" s="585">
        <v>1</v>
      </c>
      <c r="E260" s="585"/>
      <c r="F260" s="586">
        <v>2142.29336245139</v>
      </c>
      <c r="G260" s="425">
        <v>1</v>
      </c>
      <c r="H260" s="425"/>
      <c r="I260" s="426">
        <f>SUM(I261:I267)</f>
        <v>2142.21507121869</v>
      </c>
      <c r="J260" s="437">
        <f t="shared" si="32"/>
        <v>0</v>
      </c>
      <c r="K260" s="591" t="s">
        <v>316</v>
      </c>
      <c r="L260" s="591" t="s">
        <v>303</v>
      </c>
      <c r="M260" s="593" t="s">
        <v>193</v>
      </c>
      <c r="N260" s="592">
        <v>1</v>
      </c>
    </row>
    <row r="261" s="539" customFormat="1" ht="15.95" customHeight="1" spans="1:14">
      <c r="A261" s="378"/>
      <c r="B261" s="406" t="s">
        <v>304</v>
      </c>
      <c r="C261" s="479" t="s">
        <v>305</v>
      </c>
      <c r="D261" s="587">
        <v>1</v>
      </c>
      <c r="E261" s="587">
        <v>1000</v>
      </c>
      <c r="F261" s="588">
        <v>1000</v>
      </c>
      <c r="G261" s="425">
        <v>1</v>
      </c>
      <c r="H261" s="425">
        <f t="shared" ref="H261:H267" si="35">H189</f>
        <v>1000</v>
      </c>
      <c r="I261" s="426">
        <f t="shared" ref="I261:I267" si="36">G261*H261</f>
        <v>1000</v>
      </c>
      <c r="J261" s="437">
        <f t="shared" si="32"/>
        <v>1000</v>
      </c>
      <c r="K261" s="591"/>
      <c r="L261" s="591" t="s">
        <v>304</v>
      </c>
      <c r="M261" s="591" t="s">
        <v>305</v>
      </c>
      <c r="N261" s="592">
        <v>1</v>
      </c>
    </row>
    <row r="262" s="539" customFormat="1" ht="15.95" customHeight="1" spans="1:14">
      <c r="A262" s="378"/>
      <c r="B262" s="11" t="s">
        <v>306</v>
      </c>
      <c r="C262" s="480" t="s">
        <v>307</v>
      </c>
      <c r="D262" s="589">
        <v>0.763337925</v>
      </c>
      <c r="E262" s="589">
        <v>573.476964915539</v>
      </c>
      <c r="F262" s="590">
        <v>437.756716433925</v>
      </c>
      <c r="G262" s="425">
        <v>0.763337925</v>
      </c>
      <c r="H262" s="425">
        <f t="shared" si="35"/>
        <v>573.383274298207</v>
      </c>
      <c r="I262" s="426">
        <f t="shared" si="36"/>
        <v>437.685198832499</v>
      </c>
      <c r="J262" s="437">
        <f t="shared" si="32"/>
        <v>437.685198832499</v>
      </c>
      <c r="K262" s="591"/>
      <c r="L262" s="591" t="s">
        <v>306</v>
      </c>
      <c r="M262" s="592" t="s">
        <v>307</v>
      </c>
      <c r="N262" s="592">
        <v>0.763337925</v>
      </c>
    </row>
    <row r="263" s="539" customFormat="1" ht="15.95" customHeight="1" spans="1:14">
      <c r="A263" s="378"/>
      <c r="B263" s="11" t="s">
        <v>308</v>
      </c>
      <c r="C263" s="480" t="s">
        <v>307</v>
      </c>
      <c r="D263" s="589">
        <v>0.1764</v>
      </c>
      <c r="E263" s="589">
        <v>647.348816145622</v>
      </c>
      <c r="F263" s="590">
        <v>114.192331168088</v>
      </c>
      <c r="G263" s="425">
        <v>0.1764</v>
      </c>
      <c r="H263" s="425">
        <f t="shared" si="35"/>
        <v>647.324646660022</v>
      </c>
      <c r="I263" s="426">
        <f t="shared" si="36"/>
        <v>114.188067670828</v>
      </c>
      <c r="J263" s="437">
        <f t="shared" si="32"/>
        <v>114.188067670828</v>
      </c>
      <c r="K263" s="591"/>
      <c r="L263" s="591" t="s">
        <v>308</v>
      </c>
      <c r="M263" s="592" t="s">
        <v>307</v>
      </c>
      <c r="N263" s="592">
        <v>0.1764</v>
      </c>
    </row>
    <row r="264" s="539" customFormat="1" ht="15.95" customHeight="1" spans="1:14">
      <c r="A264" s="378"/>
      <c r="B264" s="11" t="s">
        <v>309</v>
      </c>
      <c r="C264" s="480" t="s">
        <v>307</v>
      </c>
      <c r="D264" s="589">
        <v>0.1038555</v>
      </c>
      <c r="E264" s="589">
        <v>647.348816145622</v>
      </c>
      <c r="F264" s="590">
        <v>67.2307349752116</v>
      </c>
      <c r="G264" s="425">
        <v>0.1038555</v>
      </c>
      <c r="H264" s="425">
        <f t="shared" si="35"/>
        <v>647.324646660022</v>
      </c>
      <c r="I264" s="426">
        <f t="shared" si="36"/>
        <v>67.2282248411999</v>
      </c>
      <c r="J264" s="437">
        <f t="shared" si="32"/>
        <v>67.2282248411999</v>
      </c>
      <c r="K264" s="591"/>
      <c r="L264" s="591" t="s">
        <v>309</v>
      </c>
      <c r="M264" s="592" t="s">
        <v>307</v>
      </c>
      <c r="N264" s="592">
        <v>0.1038555</v>
      </c>
    </row>
    <row r="265" s="539" customFormat="1" ht="15.95" customHeight="1" spans="1:14">
      <c r="A265" s="378"/>
      <c r="B265" s="11" t="s">
        <v>310</v>
      </c>
      <c r="C265" s="7" t="s">
        <v>305</v>
      </c>
      <c r="D265" s="552">
        <v>1</v>
      </c>
      <c r="E265" s="552">
        <v>50</v>
      </c>
      <c r="F265" s="553">
        <v>50</v>
      </c>
      <c r="G265" s="425">
        <f>G260</f>
        <v>1</v>
      </c>
      <c r="H265" s="425">
        <f t="shared" si="35"/>
        <v>50</v>
      </c>
      <c r="I265" s="426">
        <f t="shared" si="36"/>
        <v>50</v>
      </c>
      <c r="J265" s="437">
        <f t="shared" si="32"/>
        <v>50</v>
      </c>
      <c r="K265" s="591"/>
      <c r="L265" s="591" t="s">
        <v>310</v>
      </c>
      <c r="M265" s="591" t="s">
        <v>305</v>
      </c>
      <c r="N265" s="592">
        <v>1</v>
      </c>
    </row>
    <row r="266" s="539" customFormat="1" ht="15.95" customHeight="1" spans="1:14">
      <c r="A266" s="378"/>
      <c r="B266" s="11" t="s">
        <v>311</v>
      </c>
      <c r="C266" s="481" t="s">
        <v>307</v>
      </c>
      <c r="D266" s="594">
        <v>0.19732545</v>
      </c>
      <c r="E266" s="594">
        <v>583.993706543077</v>
      </c>
      <c r="F266" s="595">
        <v>115.236820940781</v>
      </c>
      <c r="G266" s="425">
        <v>0.19732545</v>
      </c>
      <c r="H266" s="425">
        <f t="shared" si="35"/>
        <v>583.993706543077</v>
      </c>
      <c r="I266" s="426">
        <f t="shared" si="36"/>
        <v>115.236820940781</v>
      </c>
      <c r="J266" s="437">
        <f t="shared" si="32"/>
        <v>115.236820940781</v>
      </c>
      <c r="K266" s="591"/>
      <c r="L266" s="591" t="s">
        <v>311</v>
      </c>
      <c r="M266" s="592" t="s">
        <v>307</v>
      </c>
      <c r="N266" s="592">
        <v>0.19732545</v>
      </c>
    </row>
    <row r="267" s="539" customFormat="1" ht="15.95" customHeight="1" spans="1:14">
      <c r="A267" s="378"/>
      <c r="B267" s="482" t="s">
        <v>312</v>
      </c>
      <c r="C267" s="483" t="s">
        <v>175</v>
      </c>
      <c r="D267" s="594">
        <v>19.21</v>
      </c>
      <c r="E267" s="594">
        <v>18.6297115530134</v>
      </c>
      <c r="F267" s="595">
        <v>357.876758933387</v>
      </c>
      <c r="G267" s="425">
        <v>19.21</v>
      </c>
      <c r="H267" s="425">
        <f t="shared" si="35"/>
        <v>18.6297115530134</v>
      </c>
      <c r="I267" s="426">
        <f t="shared" si="36"/>
        <v>357.876758933387</v>
      </c>
      <c r="J267" s="437">
        <f t="shared" si="32"/>
        <v>357.876758933387</v>
      </c>
      <c r="K267" s="591"/>
      <c r="L267" s="591" t="s">
        <v>312</v>
      </c>
      <c r="M267" s="593" t="s">
        <v>175</v>
      </c>
      <c r="N267" s="592">
        <v>19.2132675</v>
      </c>
    </row>
    <row r="268" s="539" customFormat="1" ht="15.95" customHeight="1" spans="1:10">
      <c r="A268" s="5">
        <v>1.3</v>
      </c>
      <c r="B268" s="391" t="s">
        <v>318</v>
      </c>
      <c r="C268" s="378"/>
      <c r="D268" s="552"/>
      <c r="E268" s="552"/>
      <c r="F268" s="553">
        <v>318759.432304708</v>
      </c>
      <c r="G268" s="425"/>
      <c r="H268" s="425"/>
      <c r="I268" s="434">
        <f>I306+I318+I332</f>
        <v>312599.173181923</v>
      </c>
      <c r="J268" s="437">
        <f t="shared" ref="J268:J289" si="37">G268*H268</f>
        <v>0</v>
      </c>
    </row>
    <row r="269" s="539" customFormat="1" ht="15.95" customHeight="1" spans="1:10">
      <c r="A269" s="378" t="s">
        <v>319</v>
      </c>
      <c r="B269" s="575" t="s">
        <v>251</v>
      </c>
      <c r="C269" s="378" t="s">
        <v>193</v>
      </c>
      <c r="D269" s="552">
        <v>1</v>
      </c>
      <c r="E269" s="552"/>
      <c r="F269" s="553">
        <v>15480.0735400979</v>
      </c>
      <c r="G269" s="425"/>
      <c r="H269" s="425"/>
      <c r="I269" s="426">
        <f>SUM(I270:I275)</f>
        <v>0</v>
      </c>
      <c r="J269" s="437">
        <f t="shared" si="37"/>
        <v>0</v>
      </c>
    </row>
    <row r="270" s="539" customFormat="1" ht="15.95" customHeight="1" spans="1:10">
      <c r="A270" s="378"/>
      <c r="B270" s="575" t="s">
        <v>168</v>
      </c>
      <c r="C270" s="531" t="s">
        <v>252</v>
      </c>
      <c r="D270" s="552">
        <v>245.2179408</v>
      </c>
      <c r="E270" s="552">
        <v>5.79967259622126</v>
      </c>
      <c r="F270" s="553">
        <v>1422.18377135957</v>
      </c>
      <c r="G270" s="425"/>
      <c r="H270" s="425">
        <f t="shared" ref="H270:H275" si="38">H198</f>
        <v>5.59741698768686</v>
      </c>
      <c r="I270" s="426">
        <f t="shared" ref="I270:I293" si="39">G270*H270</f>
        <v>0</v>
      </c>
      <c r="J270" s="437">
        <f t="shared" si="37"/>
        <v>0</v>
      </c>
    </row>
    <row r="271" s="539" customFormat="1" ht="15.95" customHeight="1" spans="1:10">
      <c r="A271" s="378"/>
      <c r="B271" s="575" t="s">
        <v>170</v>
      </c>
      <c r="C271" s="7" t="s">
        <v>169</v>
      </c>
      <c r="D271" s="552">
        <v>86.75163</v>
      </c>
      <c r="E271" s="552">
        <v>14.0473955850729</v>
      </c>
      <c r="F271" s="553">
        <v>1218.63446425988</v>
      </c>
      <c r="G271" s="425"/>
      <c r="H271" s="425">
        <f t="shared" si="38"/>
        <v>13.9556177229579</v>
      </c>
      <c r="I271" s="426">
        <f t="shared" si="39"/>
        <v>0</v>
      </c>
      <c r="J271" s="437">
        <f t="shared" si="37"/>
        <v>0</v>
      </c>
    </row>
    <row r="272" s="539" customFormat="1" ht="15.95" customHeight="1" spans="1:10">
      <c r="A272" s="378"/>
      <c r="B272" s="575" t="s">
        <v>253</v>
      </c>
      <c r="C272" s="531" t="s">
        <v>252</v>
      </c>
      <c r="D272" s="552">
        <v>9.109611</v>
      </c>
      <c r="E272" s="552">
        <v>323.711665766842</v>
      </c>
      <c r="F272" s="553">
        <v>2948.88735129795</v>
      </c>
      <c r="G272" s="425"/>
      <c r="H272" s="425">
        <f t="shared" si="38"/>
        <v>323.711665766842</v>
      </c>
      <c r="I272" s="426">
        <f t="shared" si="39"/>
        <v>0</v>
      </c>
      <c r="J272" s="437">
        <f t="shared" si="37"/>
        <v>0</v>
      </c>
    </row>
    <row r="273" s="539" customFormat="1" ht="15.95" customHeight="1" spans="1:10">
      <c r="A273" s="378"/>
      <c r="B273" s="575" t="s">
        <v>254</v>
      </c>
      <c r="C273" s="7" t="s">
        <v>169</v>
      </c>
      <c r="D273" s="552">
        <v>12.17032425</v>
      </c>
      <c r="E273" s="552">
        <v>308.036941049453</v>
      </c>
      <c r="F273" s="553">
        <v>3748.90945354998</v>
      </c>
      <c r="G273" s="425"/>
      <c r="H273" s="425">
        <f t="shared" si="38"/>
        <v>308.036941049453</v>
      </c>
      <c r="I273" s="426">
        <f t="shared" si="39"/>
        <v>0</v>
      </c>
      <c r="J273" s="437">
        <f t="shared" si="37"/>
        <v>0</v>
      </c>
    </row>
    <row r="274" s="539" customFormat="1" ht="15.95" customHeight="1" spans="1:10">
      <c r="A274" s="378"/>
      <c r="B274" s="575" t="s">
        <v>255</v>
      </c>
      <c r="C274" s="531" t="s">
        <v>252</v>
      </c>
      <c r="D274" s="552">
        <v>9.109611</v>
      </c>
      <c r="E274" s="552">
        <v>598.653564585943</v>
      </c>
      <c r="F274" s="553">
        <v>5453.50109714132</v>
      </c>
      <c r="G274" s="425"/>
      <c r="H274" s="425">
        <f t="shared" si="38"/>
        <v>598.616259510343</v>
      </c>
      <c r="I274" s="426">
        <f t="shared" si="39"/>
        <v>0</v>
      </c>
      <c r="J274" s="437">
        <f t="shared" si="37"/>
        <v>0</v>
      </c>
    </row>
    <row r="275" s="539" customFormat="1" ht="15.95" customHeight="1" spans="1:10">
      <c r="A275" s="378"/>
      <c r="B275" s="575" t="s">
        <v>256</v>
      </c>
      <c r="C275" s="531" t="s">
        <v>252</v>
      </c>
      <c r="D275" s="552">
        <v>1.30284</v>
      </c>
      <c r="E275" s="552">
        <v>528.044427933793</v>
      </c>
      <c r="F275" s="553">
        <v>687.957402489263</v>
      </c>
      <c r="G275" s="425"/>
      <c r="H275" s="425">
        <f t="shared" si="38"/>
        <v>528.027088954994</v>
      </c>
      <c r="I275" s="426">
        <f t="shared" si="39"/>
        <v>0</v>
      </c>
      <c r="J275" s="437">
        <f t="shared" si="37"/>
        <v>0</v>
      </c>
    </row>
    <row r="276" s="539" customFormat="1" ht="15.95" customHeight="1" spans="1:10">
      <c r="A276" s="378" t="s">
        <v>320</v>
      </c>
      <c r="B276" s="575" t="s">
        <v>258</v>
      </c>
      <c r="C276" s="378" t="s">
        <v>193</v>
      </c>
      <c r="D276" s="552">
        <v>1</v>
      </c>
      <c r="E276" s="552"/>
      <c r="F276" s="553">
        <v>32604.5414621725</v>
      </c>
      <c r="G276" s="425"/>
      <c r="H276" s="425"/>
      <c r="I276" s="426">
        <f>SUM(I277:I288)</f>
        <v>0</v>
      </c>
      <c r="J276" s="437">
        <f t="shared" si="37"/>
        <v>0</v>
      </c>
    </row>
    <row r="277" s="539" customFormat="1" ht="15.95" customHeight="1" spans="1:10">
      <c r="A277" s="378"/>
      <c r="B277" s="575" t="s">
        <v>168</v>
      </c>
      <c r="C277" s="531" t="s">
        <v>252</v>
      </c>
      <c r="D277" s="552">
        <v>73.589166</v>
      </c>
      <c r="E277" s="552">
        <v>5.79967259622126</v>
      </c>
      <c r="F277" s="553">
        <v>426.793069428977</v>
      </c>
      <c r="G277" s="425"/>
      <c r="H277" s="425">
        <f t="shared" ref="H277:H288" si="40">H205</f>
        <v>5.59741698768686</v>
      </c>
      <c r="I277" s="426">
        <f t="shared" si="39"/>
        <v>0</v>
      </c>
      <c r="J277" s="437">
        <f t="shared" si="37"/>
        <v>0</v>
      </c>
    </row>
    <row r="278" s="539" customFormat="1" ht="15.95" customHeight="1" spans="1:10">
      <c r="A278" s="378"/>
      <c r="B278" s="575" t="s">
        <v>170</v>
      </c>
      <c r="C278" s="7" t="s">
        <v>169</v>
      </c>
      <c r="D278" s="552">
        <v>34.201566</v>
      </c>
      <c r="E278" s="552">
        <v>14.0473955850729</v>
      </c>
      <c r="F278" s="553">
        <v>480.442927230978</v>
      </c>
      <c r="G278" s="425"/>
      <c r="H278" s="425">
        <f t="shared" si="40"/>
        <v>13.9556177229579</v>
      </c>
      <c r="I278" s="426">
        <f t="shared" si="39"/>
        <v>0</v>
      </c>
      <c r="J278" s="437">
        <f t="shared" si="37"/>
        <v>0</v>
      </c>
    </row>
    <row r="279" s="539" customFormat="1" ht="15.95" customHeight="1" spans="1:10">
      <c r="A279" s="378"/>
      <c r="B279" s="575" t="s">
        <v>259</v>
      </c>
      <c r="C279" s="7" t="s">
        <v>169</v>
      </c>
      <c r="D279" s="552">
        <v>2.11365</v>
      </c>
      <c r="E279" s="552">
        <v>608.165572985013</v>
      </c>
      <c r="F279" s="553">
        <v>1285.44916333977</v>
      </c>
      <c r="G279" s="425"/>
      <c r="H279" s="425">
        <f t="shared" si="40"/>
        <v>599.220381309962</v>
      </c>
      <c r="I279" s="426">
        <f t="shared" si="39"/>
        <v>0</v>
      </c>
      <c r="J279" s="437">
        <f t="shared" si="37"/>
        <v>0</v>
      </c>
    </row>
    <row r="280" s="539" customFormat="1" ht="15.95" customHeight="1" spans="1:10">
      <c r="A280" s="378"/>
      <c r="B280" s="575" t="s">
        <v>260</v>
      </c>
      <c r="C280" s="7" t="s">
        <v>169</v>
      </c>
      <c r="D280" s="552">
        <v>3.15</v>
      </c>
      <c r="E280" s="552">
        <v>583.35148528897</v>
      </c>
      <c r="F280" s="553">
        <v>1837.55717866026</v>
      </c>
      <c r="G280" s="425"/>
      <c r="H280" s="425">
        <f t="shared" si="40"/>
        <v>583.257794671639</v>
      </c>
      <c r="I280" s="426">
        <f t="shared" si="39"/>
        <v>0</v>
      </c>
      <c r="J280" s="437">
        <f t="shared" si="37"/>
        <v>0</v>
      </c>
    </row>
    <row r="281" s="539" customFormat="1" ht="15.95" customHeight="1" spans="1:10">
      <c r="A281" s="378"/>
      <c r="B281" s="575" t="s">
        <v>261</v>
      </c>
      <c r="C281" s="7" t="s">
        <v>169</v>
      </c>
      <c r="D281" s="552">
        <v>5.82876</v>
      </c>
      <c r="E281" s="552">
        <v>608.165572985013</v>
      </c>
      <c r="F281" s="553">
        <v>3544.85116519212</v>
      </c>
      <c r="G281" s="425"/>
      <c r="H281" s="425">
        <f t="shared" si="40"/>
        <v>608.128267909413</v>
      </c>
      <c r="I281" s="426">
        <f t="shared" si="39"/>
        <v>0</v>
      </c>
      <c r="J281" s="437">
        <f t="shared" si="37"/>
        <v>0</v>
      </c>
    </row>
    <row r="282" s="539" customFormat="1" ht="15.95" customHeight="1" spans="1:10">
      <c r="A282" s="378"/>
      <c r="B282" s="575" t="s">
        <v>262</v>
      </c>
      <c r="C282" s="7" t="s">
        <v>169</v>
      </c>
      <c r="D282" s="552">
        <v>0.5292</v>
      </c>
      <c r="E282" s="552">
        <v>770.879647119594</v>
      </c>
      <c r="F282" s="553">
        <v>407.949509255689</v>
      </c>
      <c r="G282" s="425"/>
      <c r="H282" s="425">
        <f t="shared" si="40"/>
        <v>769.910897357094</v>
      </c>
      <c r="I282" s="426">
        <f t="shared" si="39"/>
        <v>0</v>
      </c>
      <c r="J282" s="437">
        <f t="shared" si="37"/>
        <v>0</v>
      </c>
    </row>
    <row r="283" s="539" customFormat="1" ht="15.95" customHeight="1" spans="1:10">
      <c r="A283" s="378"/>
      <c r="B283" s="575" t="s">
        <v>263</v>
      </c>
      <c r="C283" s="7" t="s">
        <v>169</v>
      </c>
      <c r="D283" s="552">
        <v>0.63</v>
      </c>
      <c r="E283" s="552">
        <v>500.922568893264</v>
      </c>
      <c r="F283" s="553">
        <v>315.581218402756</v>
      </c>
      <c r="G283" s="425"/>
      <c r="H283" s="425">
        <f t="shared" si="40"/>
        <v>500.913286409664</v>
      </c>
      <c r="I283" s="426">
        <f t="shared" si="39"/>
        <v>0</v>
      </c>
      <c r="J283" s="437">
        <f t="shared" si="37"/>
        <v>0</v>
      </c>
    </row>
    <row r="284" s="539" customFormat="1" ht="15.95" customHeight="1" spans="1:10">
      <c r="A284" s="378"/>
      <c r="B284" s="575" t="s">
        <v>264</v>
      </c>
      <c r="C284" s="378" t="s">
        <v>200</v>
      </c>
      <c r="D284" s="552">
        <v>1.743525</v>
      </c>
      <c r="E284" s="552">
        <v>6547.06860221045</v>
      </c>
      <c r="F284" s="553">
        <v>11414.977784669</v>
      </c>
      <c r="G284" s="425"/>
      <c r="H284" s="425">
        <f t="shared" si="40"/>
        <v>6774.28452813344</v>
      </c>
      <c r="I284" s="426">
        <f t="shared" si="39"/>
        <v>0</v>
      </c>
      <c r="J284" s="437">
        <f t="shared" si="37"/>
        <v>0</v>
      </c>
    </row>
    <row r="285" s="539" customFormat="1" ht="15.95" customHeight="1" spans="1:10">
      <c r="A285" s="378"/>
      <c r="B285" s="575" t="s">
        <v>265</v>
      </c>
      <c r="C285" s="378" t="s">
        <v>200</v>
      </c>
      <c r="D285" s="552">
        <v>1.365</v>
      </c>
      <c r="E285" s="552">
        <v>6874.42203232097</v>
      </c>
      <c r="F285" s="553">
        <v>9383.58607411813</v>
      </c>
      <c r="G285" s="425"/>
      <c r="H285" s="425">
        <f t="shared" si="40"/>
        <v>7112.99875454011</v>
      </c>
      <c r="I285" s="426">
        <f t="shared" si="39"/>
        <v>0</v>
      </c>
      <c r="J285" s="437">
        <f t="shared" si="37"/>
        <v>0</v>
      </c>
    </row>
    <row r="286" s="539" customFormat="1" ht="15.95" customHeight="1" spans="1:10">
      <c r="A286" s="378"/>
      <c r="B286" s="575" t="s">
        <v>266</v>
      </c>
      <c r="C286" s="378" t="s">
        <v>167</v>
      </c>
      <c r="D286" s="552">
        <v>13.461</v>
      </c>
      <c r="E286" s="552">
        <v>121.049652468226</v>
      </c>
      <c r="F286" s="553">
        <v>1629.44937187479</v>
      </c>
      <c r="G286" s="425"/>
      <c r="H286" s="425">
        <f t="shared" si="40"/>
        <v>121.049652468226</v>
      </c>
      <c r="I286" s="426">
        <f t="shared" si="39"/>
        <v>0</v>
      </c>
      <c r="J286" s="437">
        <f t="shared" si="37"/>
        <v>0</v>
      </c>
    </row>
    <row r="287" s="539" customFormat="1" ht="15.95" customHeight="1" spans="1:10">
      <c r="A287" s="378"/>
      <c r="B287" s="575" t="s">
        <v>267</v>
      </c>
      <c r="C287" s="378" t="s">
        <v>268</v>
      </c>
      <c r="D287" s="552">
        <v>0.94752</v>
      </c>
      <c r="E287" s="552">
        <v>450</v>
      </c>
      <c r="F287" s="553">
        <v>426.384</v>
      </c>
      <c r="G287" s="425"/>
      <c r="H287" s="425">
        <f t="shared" si="40"/>
        <v>450</v>
      </c>
      <c r="I287" s="426">
        <f t="shared" si="39"/>
        <v>0</v>
      </c>
      <c r="J287" s="437">
        <f t="shared" si="37"/>
        <v>0</v>
      </c>
    </row>
    <row r="288" s="539" customFormat="1" ht="15.95" customHeight="1" spans="1:10">
      <c r="A288" s="378"/>
      <c r="B288" s="575" t="s">
        <v>269</v>
      </c>
      <c r="C288" s="378" t="s">
        <v>268</v>
      </c>
      <c r="D288" s="552">
        <v>0.06048</v>
      </c>
      <c r="E288" s="552">
        <v>24000</v>
      </c>
      <c r="F288" s="553">
        <v>1451.52</v>
      </c>
      <c r="G288" s="425"/>
      <c r="H288" s="425">
        <f t="shared" si="40"/>
        <v>24000</v>
      </c>
      <c r="I288" s="426">
        <f t="shared" si="39"/>
        <v>0</v>
      </c>
      <c r="J288" s="437">
        <f t="shared" si="37"/>
        <v>0</v>
      </c>
    </row>
    <row r="289" s="539" customFormat="1" ht="15.95" customHeight="1" spans="1:10">
      <c r="A289" s="378" t="s">
        <v>321</v>
      </c>
      <c r="B289" s="575" t="s">
        <v>271</v>
      </c>
      <c r="C289" s="378" t="s">
        <v>167</v>
      </c>
      <c r="D289" s="552">
        <v>4.81</v>
      </c>
      <c r="E289" s="552"/>
      <c r="F289" s="553">
        <v>15015.0310571898</v>
      </c>
      <c r="G289" s="425"/>
      <c r="H289" s="425"/>
      <c r="I289" s="426">
        <f>SUM(I290:I294)</f>
        <v>0</v>
      </c>
      <c r="J289" s="437">
        <f t="shared" si="37"/>
        <v>0</v>
      </c>
    </row>
    <row r="290" s="539" customFormat="1" ht="15.95" customHeight="1" spans="1:10">
      <c r="A290" s="378"/>
      <c r="B290" s="575" t="s">
        <v>168</v>
      </c>
      <c r="C290" s="531" t="s">
        <v>252</v>
      </c>
      <c r="D290" s="552">
        <v>42.92925</v>
      </c>
      <c r="E290" s="552">
        <v>5.79967259622126</v>
      </c>
      <c r="F290" s="553">
        <v>248.975594801332</v>
      </c>
      <c r="G290" s="425"/>
      <c r="H290" s="425">
        <f t="shared" ref="H290:H294" si="41">H218</f>
        <v>5.59741698768686</v>
      </c>
      <c r="I290" s="426">
        <f t="shared" si="39"/>
        <v>0</v>
      </c>
      <c r="J290" s="437">
        <f t="shared" ref="J290:J309" si="42">G290*H290</f>
        <v>0</v>
      </c>
    </row>
    <row r="291" s="539" customFormat="1" ht="15.95" customHeight="1" spans="1:10">
      <c r="A291" s="378"/>
      <c r="B291" s="575" t="s">
        <v>170</v>
      </c>
      <c r="C291" s="7" t="s">
        <v>169</v>
      </c>
      <c r="D291" s="552">
        <v>12.92928</v>
      </c>
      <c r="E291" s="552">
        <v>14.0473955850729</v>
      </c>
      <c r="F291" s="553">
        <v>181.622710790171</v>
      </c>
      <c r="G291" s="425"/>
      <c r="H291" s="425">
        <f t="shared" si="41"/>
        <v>13.9556177229579</v>
      </c>
      <c r="I291" s="426">
        <f t="shared" si="39"/>
        <v>0</v>
      </c>
      <c r="J291" s="437">
        <f t="shared" si="42"/>
        <v>0</v>
      </c>
    </row>
    <row r="292" s="539" customFormat="1" ht="15.95" customHeight="1" spans="1:10">
      <c r="A292" s="378"/>
      <c r="B292" s="575" t="s">
        <v>272</v>
      </c>
      <c r="C292" s="7" t="s">
        <v>169</v>
      </c>
      <c r="D292" s="552">
        <v>7.87878</v>
      </c>
      <c r="E292" s="552">
        <v>588.743089667626</v>
      </c>
      <c r="F292" s="553">
        <v>4638.5772800115</v>
      </c>
      <c r="G292" s="425"/>
      <c r="H292" s="425">
        <f t="shared" si="41"/>
        <v>588.663400421626</v>
      </c>
      <c r="I292" s="426">
        <f t="shared" si="39"/>
        <v>0</v>
      </c>
      <c r="J292" s="437">
        <f t="shared" si="42"/>
        <v>0</v>
      </c>
    </row>
    <row r="293" s="539" customFormat="1" ht="15.95" customHeight="1" spans="1:10">
      <c r="A293" s="378"/>
      <c r="B293" s="575" t="s">
        <v>266</v>
      </c>
      <c r="C293" s="378" t="s">
        <v>167</v>
      </c>
      <c r="D293" s="552">
        <v>5.46</v>
      </c>
      <c r="E293" s="552">
        <v>121.049652468226</v>
      </c>
      <c r="F293" s="553">
        <v>660.931102476514</v>
      </c>
      <c r="G293" s="425"/>
      <c r="H293" s="425">
        <f t="shared" si="41"/>
        <v>121.049652468226</v>
      </c>
      <c r="I293" s="426">
        <f t="shared" si="39"/>
        <v>0</v>
      </c>
      <c r="J293" s="437">
        <f t="shared" si="42"/>
        <v>0</v>
      </c>
    </row>
    <row r="294" s="539" customFormat="1" ht="15.95" customHeight="1" spans="1:10">
      <c r="A294" s="378"/>
      <c r="B294" s="575" t="s">
        <v>214</v>
      </c>
      <c r="C294" s="378" t="s">
        <v>200</v>
      </c>
      <c r="D294" s="552">
        <v>1.4181804</v>
      </c>
      <c r="E294" s="552">
        <v>6547.06860221045</v>
      </c>
      <c r="F294" s="553">
        <v>9284.92436911026</v>
      </c>
      <c r="G294" s="425"/>
      <c r="H294" s="425">
        <f t="shared" si="41"/>
        <v>6774.28452813344</v>
      </c>
      <c r="I294" s="426">
        <f t="shared" ref="I294:I309" si="43">G294*H294</f>
        <v>0</v>
      </c>
      <c r="J294" s="437">
        <f t="shared" si="42"/>
        <v>0</v>
      </c>
    </row>
    <row r="295" s="539" customFormat="1" ht="15.95" customHeight="1" spans="1:10">
      <c r="A295" s="378" t="s">
        <v>322</v>
      </c>
      <c r="B295" s="575" t="s">
        <v>274</v>
      </c>
      <c r="C295" s="378" t="s">
        <v>193</v>
      </c>
      <c r="D295" s="552">
        <v>1</v>
      </c>
      <c r="E295" s="552"/>
      <c r="F295" s="553">
        <v>122325.92786684</v>
      </c>
      <c r="G295" s="425"/>
      <c r="H295" s="425"/>
      <c r="I295" s="426">
        <f>SUM(I296:I305)</f>
        <v>0</v>
      </c>
      <c r="J295" s="437">
        <f t="shared" si="42"/>
        <v>0</v>
      </c>
    </row>
    <row r="296" s="539" customFormat="1" ht="15.95" customHeight="1" spans="1:10">
      <c r="A296" s="378"/>
      <c r="B296" s="575" t="s">
        <v>168</v>
      </c>
      <c r="C296" s="378" t="s">
        <v>268</v>
      </c>
      <c r="D296" s="552">
        <v>99.225</v>
      </c>
      <c r="E296" s="552">
        <v>5.79967259622126</v>
      </c>
      <c r="F296" s="553">
        <v>575.472513360054</v>
      </c>
      <c r="G296" s="425"/>
      <c r="H296" s="425">
        <f t="shared" ref="H296:H305" si="44">H224</f>
        <v>5.59741698768686</v>
      </c>
      <c r="I296" s="426">
        <f t="shared" si="43"/>
        <v>0</v>
      </c>
      <c r="J296" s="437">
        <f t="shared" si="42"/>
        <v>0</v>
      </c>
    </row>
    <row r="297" s="539" customFormat="1" ht="15.95" customHeight="1" spans="1:10">
      <c r="A297" s="378"/>
      <c r="B297" s="575" t="s">
        <v>170</v>
      </c>
      <c r="C297" s="378" t="s">
        <v>268</v>
      </c>
      <c r="D297" s="552">
        <v>23.625</v>
      </c>
      <c r="E297" s="552">
        <v>14.0473955850729</v>
      </c>
      <c r="F297" s="553">
        <v>331.869720697347</v>
      </c>
      <c r="G297" s="425"/>
      <c r="H297" s="425">
        <f t="shared" si="44"/>
        <v>13.9556177229579</v>
      </c>
      <c r="I297" s="426">
        <f t="shared" si="43"/>
        <v>0</v>
      </c>
      <c r="J297" s="437">
        <f t="shared" si="42"/>
        <v>0</v>
      </c>
    </row>
    <row r="298" s="539" customFormat="1" ht="15.95" customHeight="1" spans="1:10">
      <c r="A298" s="378"/>
      <c r="B298" s="575" t="s">
        <v>275</v>
      </c>
      <c r="C298" s="378" t="s">
        <v>268</v>
      </c>
      <c r="D298" s="552">
        <v>43.13925</v>
      </c>
      <c r="E298" s="552">
        <v>608.165572985013</v>
      </c>
      <c r="F298" s="553">
        <v>26235.8066943937</v>
      </c>
      <c r="G298" s="425"/>
      <c r="H298" s="425">
        <f t="shared" si="44"/>
        <v>608.128267909413</v>
      </c>
      <c r="I298" s="426">
        <f t="shared" si="43"/>
        <v>0</v>
      </c>
      <c r="J298" s="437">
        <f t="shared" si="42"/>
        <v>0</v>
      </c>
    </row>
    <row r="299" s="539" customFormat="1" ht="15.95" customHeight="1" spans="1:10">
      <c r="A299" s="378"/>
      <c r="B299" s="575" t="s">
        <v>276</v>
      </c>
      <c r="C299" s="378" t="s">
        <v>268</v>
      </c>
      <c r="D299" s="552">
        <v>22.3146</v>
      </c>
      <c r="E299" s="552">
        <v>583.35148528897</v>
      </c>
      <c r="F299" s="553">
        <v>13017.2550536292</v>
      </c>
      <c r="G299" s="425"/>
      <c r="H299" s="425">
        <f t="shared" si="44"/>
        <v>583.257794671639</v>
      </c>
      <c r="I299" s="426">
        <f t="shared" si="43"/>
        <v>0</v>
      </c>
      <c r="J299" s="437">
        <f t="shared" si="42"/>
        <v>0</v>
      </c>
    </row>
    <row r="300" s="539" customFormat="1" ht="15.95" customHeight="1" spans="1:10">
      <c r="A300" s="378"/>
      <c r="B300" s="575" t="s">
        <v>263</v>
      </c>
      <c r="C300" s="378" t="s">
        <v>268</v>
      </c>
      <c r="D300" s="552">
        <v>3.4272</v>
      </c>
      <c r="E300" s="552">
        <v>500.922568893264</v>
      </c>
      <c r="F300" s="553">
        <v>1716.76182811099</v>
      </c>
      <c r="G300" s="425"/>
      <c r="H300" s="425">
        <f t="shared" si="44"/>
        <v>500.913286409664</v>
      </c>
      <c r="I300" s="426">
        <f t="shared" si="43"/>
        <v>0</v>
      </c>
      <c r="J300" s="437">
        <f t="shared" si="42"/>
        <v>0</v>
      </c>
    </row>
    <row r="301" s="539" customFormat="1" ht="15.95" customHeight="1" spans="1:10">
      <c r="A301" s="378"/>
      <c r="B301" s="575" t="s">
        <v>277</v>
      </c>
      <c r="C301" s="378" t="s">
        <v>268</v>
      </c>
      <c r="D301" s="552">
        <v>0.84</v>
      </c>
      <c r="E301" s="552">
        <v>917.455291776506</v>
      </c>
      <c r="F301" s="553">
        <v>770.662445092265</v>
      </c>
      <c r="G301" s="425"/>
      <c r="H301" s="425">
        <f t="shared" si="44"/>
        <v>915.810424006506</v>
      </c>
      <c r="I301" s="426">
        <f t="shared" si="43"/>
        <v>0</v>
      </c>
      <c r="J301" s="437">
        <f t="shared" si="42"/>
        <v>0</v>
      </c>
    </row>
    <row r="302" s="539" customFormat="1" ht="15.95" customHeight="1" spans="1:10">
      <c r="A302" s="378"/>
      <c r="B302" s="575" t="s">
        <v>214</v>
      </c>
      <c r="C302" s="378" t="s">
        <v>200</v>
      </c>
      <c r="D302" s="552">
        <v>11.78226</v>
      </c>
      <c r="E302" s="552">
        <v>6547.06860221045</v>
      </c>
      <c r="F302" s="553">
        <v>77139.2645090801</v>
      </c>
      <c r="G302" s="425"/>
      <c r="H302" s="425">
        <f t="shared" si="44"/>
        <v>6774.28452813344</v>
      </c>
      <c r="I302" s="426">
        <f t="shared" si="43"/>
        <v>0</v>
      </c>
      <c r="J302" s="437">
        <f t="shared" si="42"/>
        <v>0</v>
      </c>
    </row>
    <row r="303" s="539" customFormat="1" ht="15.95" customHeight="1" spans="1:10">
      <c r="A303" s="378"/>
      <c r="B303" s="575" t="s">
        <v>266</v>
      </c>
      <c r="C303" s="378" t="s">
        <v>167</v>
      </c>
      <c r="D303" s="552">
        <v>5.46</v>
      </c>
      <c r="E303" s="552">
        <v>121.049652468226</v>
      </c>
      <c r="F303" s="553">
        <v>660.931102476514</v>
      </c>
      <c r="G303" s="425"/>
      <c r="H303" s="425">
        <f t="shared" si="44"/>
        <v>121.049652468226</v>
      </c>
      <c r="I303" s="426">
        <f t="shared" si="43"/>
        <v>0</v>
      </c>
      <c r="J303" s="437">
        <f t="shared" si="42"/>
        <v>0</v>
      </c>
    </row>
    <row r="304" s="539" customFormat="1" ht="15.95" customHeight="1" spans="1:10">
      <c r="A304" s="378"/>
      <c r="B304" s="575" t="s">
        <v>267</v>
      </c>
      <c r="C304" s="378" t="s">
        <v>268</v>
      </c>
      <c r="D304" s="552">
        <v>0.94752</v>
      </c>
      <c r="E304" s="552">
        <v>450</v>
      </c>
      <c r="F304" s="553">
        <v>426.384</v>
      </c>
      <c r="G304" s="425"/>
      <c r="H304" s="425">
        <f t="shared" si="44"/>
        <v>450</v>
      </c>
      <c r="I304" s="426">
        <f t="shared" si="43"/>
        <v>0</v>
      </c>
      <c r="J304" s="437">
        <f t="shared" si="42"/>
        <v>0</v>
      </c>
    </row>
    <row r="305" s="539" customFormat="1" ht="15.95" customHeight="1" spans="1:10">
      <c r="A305" s="378"/>
      <c r="B305" s="575" t="s">
        <v>269</v>
      </c>
      <c r="C305" s="378" t="s">
        <v>268</v>
      </c>
      <c r="D305" s="552">
        <v>0.06048</v>
      </c>
      <c r="E305" s="552">
        <v>24000</v>
      </c>
      <c r="F305" s="553">
        <v>1451.52</v>
      </c>
      <c r="G305" s="425"/>
      <c r="H305" s="425">
        <f t="shared" si="44"/>
        <v>24000</v>
      </c>
      <c r="I305" s="426">
        <f t="shared" si="43"/>
        <v>0</v>
      </c>
      <c r="J305" s="437">
        <f t="shared" si="42"/>
        <v>0</v>
      </c>
    </row>
    <row r="306" s="539" customFormat="1" ht="15.95" customHeight="1" spans="1:14">
      <c r="A306" s="378" t="s">
        <v>319</v>
      </c>
      <c r="B306" s="11" t="s">
        <v>278</v>
      </c>
      <c r="C306" s="7" t="s">
        <v>193</v>
      </c>
      <c r="D306" s="552">
        <v>1</v>
      </c>
      <c r="E306" s="552"/>
      <c r="F306" s="553">
        <v>131191.504143373</v>
      </c>
      <c r="G306" s="469">
        <v>1</v>
      </c>
      <c r="H306" s="425"/>
      <c r="I306" s="426">
        <f>SUM(I307:I317)</f>
        <v>195410.702075492</v>
      </c>
      <c r="J306" s="437">
        <f t="shared" si="42"/>
        <v>0</v>
      </c>
      <c r="K306" s="591">
        <v>1.3</v>
      </c>
      <c r="L306" s="591" t="s">
        <v>318</v>
      </c>
      <c r="M306" s="591"/>
      <c r="N306" s="592"/>
    </row>
    <row r="307" s="539" customFormat="1" ht="15.95" customHeight="1" spans="1:14">
      <c r="A307" s="378"/>
      <c r="B307" s="470" t="s">
        <v>279</v>
      </c>
      <c r="C307" s="471" t="s">
        <v>169</v>
      </c>
      <c r="D307" s="577">
        <v>47.25</v>
      </c>
      <c r="E307" s="577">
        <v>9.54247132741747</v>
      </c>
      <c r="F307" s="578">
        <v>450.881770220475</v>
      </c>
      <c r="G307" s="425">
        <v>184.88</v>
      </c>
      <c r="H307" s="564">
        <f>H235</f>
        <v>9.15967136570967</v>
      </c>
      <c r="I307" s="426">
        <f t="shared" si="43"/>
        <v>1693.4400420924</v>
      </c>
      <c r="J307" s="437">
        <f t="shared" si="42"/>
        <v>1693.4400420924</v>
      </c>
      <c r="K307" s="591" t="s">
        <v>319</v>
      </c>
      <c r="L307" s="591" t="s">
        <v>278</v>
      </c>
      <c r="M307" s="591" t="s">
        <v>193</v>
      </c>
      <c r="N307" s="592">
        <v>1</v>
      </c>
    </row>
    <row r="308" s="539" customFormat="1" ht="15.95" customHeight="1" spans="1:14">
      <c r="A308" s="378"/>
      <c r="B308" s="406" t="s">
        <v>280</v>
      </c>
      <c r="C308" s="7" t="s">
        <v>169</v>
      </c>
      <c r="D308" s="552">
        <v>393.75</v>
      </c>
      <c r="E308" s="552">
        <v>5.79967259622126</v>
      </c>
      <c r="F308" s="553">
        <v>2283.62108476212</v>
      </c>
      <c r="G308" s="425">
        <v>396.45</v>
      </c>
      <c r="H308" s="425">
        <f>H236</f>
        <v>5.59741698768686</v>
      </c>
      <c r="I308" s="426">
        <f t="shared" si="43"/>
        <v>2219.09596476846</v>
      </c>
      <c r="J308" s="437">
        <f t="shared" si="42"/>
        <v>2219.09596476846</v>
      </c>
      <c r="K308" s="591"/>
      <c r="L308" s="592" t="s">
        <v>279</v>
      </c>
      <c r="M308" s="591" t="s">
        <v>169</v>
      </c>
      <c r="N308" s="592">
        <v>184.884</v>
      </c>
    </row>
    <row r="309" s="539" customFormat="1" ht="15.95" customHeight="1" spans="1:14">
      <c r="A309" s="378"/>
      <c r="B309" s="406" t="s">
        <v>281</v>
      </c>
      <c r="C309" s="7" t="s">
        <v>169</v>
      </c>
      <c r="D309" s="552">
        <v>315</v>
      </c>
      <c r="E309" s="552">
        <v>14.0473955850729</v>
      </c>
      <c r="F309" s="553">
        <v>4424.92960929795</v>
      </c>
      <c r="G309" s="425">
        <v>312.36</v>
      </c>
      <c r="H309" s="425">
        <f>H237</f>
        <v>13.9556177229579</v>
      </c>
      <c r="I309" s="426">
        <f t="shared" si="43"/>
        <v>4359.17675194312</v>
      </c>
      <c r="J309" s="437">
        <f t="shared" si="42"/>
        <v>4359.17675194312</v>
      </c>
      <c r="K309" s="591"/>
      <c r="L309" s="591" t="s">
        <v>280</v>
      </c>
      <c r="M309" s="591" t="s">
        <v>169</v>
      </c>
      <c r="N309" s="592">
        <v>396.45</v>
      </c>
    </row>
    <row r="310" s="539" customFormat="1" ht="15.95" customHeight="1" spans="1:14">
      <c r="A310" s="378"/>
      <c r="B310" s="472" t="s">
        <v>282</v>
      </c>
      <c r="C310" s="7" t="s">
        <v>169</v>
      </c>
      <c r="D310" s="552"/>
      <c r="E310" s="552"/>
      <c r="F310" s="553"/>
      <c r="G310" s="425">
        <v>19</v>
      </c>
      <c r="H310" s="425">
        <f>H238</f>
        <v>583.257794671639</v>
      </c>
      <c r="I310" s="426">
        <f t="shared" ref="I310:I317" si="45">G310*H310</f>
        <v>11081.8980987611</v>
      </c>
      <c r="J310" s="437">
        <f t="shared" ref="J310:J317" si="46">G310*H310</f>
        <v>11081.8980987611</v>
      </c>
      <c r="K310" s="591"/>
      <c r="L310" s="591" t="s">
        <v>284</v>
      </c>
      <c r="M310" s="591" t="s">
        <v>169</v>
      </c>
      <c r="N310" s="592">
        <v>312.36</v>
      </c>
    </row>
    <row r="311" s="539" customFormat="1" ht="15.95" customHeight="1" spans="1:14">
      <c r="A311" s="378"/>
      <c r="B311" s="472" t="s">
        <v>283</v>
      </c>
      <c r="C311" s="7" t="s">
        <v>169</v>
      </c>
      <c r="D311" s="552"/>
      <c r="E311" s="552"/>
      <c r="F311" s="553"/>
      <c r="G311" s="425">
        <v>51.05</v>
      </c>
      <c r="H311" s="425">
        <f t="shared" ref="H311:H317" si="47">H239</f>
        <v>217.66</v>
      </c>
      <c r="I311" s="426">
        <f t="shared" si="45"/>
        <v>11111.543</v>
      </c>
      <c r="J311" s="437">
        <f t="shared" si="46"/>
        <v>11111.543</v>
      </c>
      <c r="K311" s="591"/>
      <c r="L311" s="591" t="s">
        <v>282</v>
      </c>
      <c r="M311" s="591" t="s">
        <v>169</v>
      </c>
      <c r="N311" s="592">
        <v>19.00368</v>
      </c>
    </row>
    <row r="312" s="539" customFormat="1" ht="15.95" customHeight="1" spans="1:14">
      <c r="A312" s="378"/>
      <c r="B312" s="472" t="s">
        <v>285</v>
      </c>
      <c r="C312" s="7" t="s">
        <v>169</v>
      </c>
      <c r="D312" s="552"/>
      <c r="E312" s="552"/>
      <c r="F312" s="553"/>
      <c r="G312" s="425">
        <v>67.35</v>
      </c>
      <c r="H312" s="425">
        <f t="shared" si="47"/>
        <v>12.9724899040303</v>
      </c>
      <c r="I312" s="426">
        <f t="shared" si="45"/>
        <v>873.697195036443</v>
      </c>
      <c r="J312" s="437">
        <f t="shared" si="46"/>
        <v>873.697195036443</v>
      </c>
      <c r="K312" s="591"/>
      <c r="L312" s="591" t="s">
        <v>283</v>
      </c>
      <c r="M312" s="591" t="s">
        <v>169</v>
      </c>
      <c r="N312" s="592">
        <v>51.0496</v>
      </c>
    </row>
    <row r="313" s="539" customFormat="1" ht="15.95" customHeight="1" spans="1:14">
      <c r="A313" s="378"/>
      <c r="B313" s="473" t="s">
        <v>323</v>
      </c>
      <c r="C313" s="474" t="s">
        <v>169</v>
      </c>
      <c r="D313" s="580">
        <v>0.2268</v>
      </c>
      <c r="E313" s="580">
        <v>564.689943089687</v>
      </c>
      <c r="F313" s="581">
        <v>128.071679092741</v>
      </c>
      <c r="G313" s="425"/>
      <c r="H313" s="425">
        <f t="shared" si="47"/>
        <v>564.674705805287</v>
      </c>
      <c r="I313" s="426">
        <f t="shared" si="45"/>
        <v>0</v>
      </c>
      <c r="J313" s="437">
        <f t="shared" si="46"/>
        <v>0</v>
      </c>
      <c r="K313" s="591"/>
      <c r="L313" s="591" t="s">
        <v>285</v>
      </c>
      <c r="M313" s="591" t="s">
        <v>169</v>
      </c>
      <c r="N313" s="592">
        <v>67.3524</v>
      </c>
    </row>
    <row r="314" s="539" customFormat="1" ht="15.95" customHeight="1" spans="1:14">
      <c r="A314" s="378"/>
      <c r="B314" s="582" t="s">
        <v>287</v>
      </c>
      <c r="C314" s="474" t="s">
        <v>169</v>
      </c>
      <c r="D314" s="580"/>
      <c r="E314" s="580"/>
      <c r="F314" s="581"/>
      <c r="G314" s="425">
        <v>0.22</v>
      </c>
      <c r="H314" s="425">
        <f t="shared" si="47"/>
        <v>574.648992970568</v>
      </c>
      <c r="I314" s="426">
        <f t="shared" si="45"/>
        <v>126.422778453525</v>
      </c>
      <c r="J314" s="437">
        <f t="shared" si="46"/>
        <v>126.422778453525</v>
      </c>
      <c r="K314" s="591"/>
      <c r="L314" s="591" t="s">
        <v>287</v>
      </c>
      <c r="M314" s="591" t="s">
        <v>169</v>
      </c>
      <c r="N314" s="592">
        <v>0.216</v>
      </c>
    </row>
    <row r="315" s="539" customFormat="1" ht="15.95" customHeight="1" spans="1:14">
      <c r="A315" s="378"/>
      <c r="B315" s="582" t="s">
        <v>288</v>
      </c>
      <c r="C315" s="474" t="s">
        <v>169</v>
      </c>
      <c r="D315" s="580"/>
      <c r="E315" s="580"/>
      <c r="F315" s="581"/>
      <c r="G315" s="425">
        <v>12.67</v>
      </c>
      <c r="H315" s="425">
        <f t="shared" si="47"/>
        <v>500.913286409664</v>
      </c>
      <c r="I315" s="426">
        <f t="shared" si="45"/>
        <v>6346.57133881044</v>
      </c>
      <c r="J315" s="437">
        <f t="shared" si="46"/>
        <v>6346.57133881044</v>
      </c>
      <c r="K315" s="591"/>
      <c r="L315" s="591" t="s">
        <v>288</v>
      </c>
      <c r="M315" s="591" t="s">
        <v>169</v>
      </c>
      <c r="N315" s="592">
        <v>12.67</v>
      </c>
    </row>
    <row r="316" s="539" customFormat="1" ht="15.95" customHeight="1" spans="1:14">
      <c r="A316" s="378"/>
      <c r="B316" s="582" t="s">
        <v>214</v>
      </c>
      <c r="C316" s="474" t="s">
        <v>200</v>
      </c>
      <c r="D316" s="580"/>
      <c r="E316" s="580"/>
      <c r="F316" s="581"/>
      <c r="G316" s="425">
        <v>0.2</v>
      </c>
      <c r="H316" s="425">
        <f t="shared" si="47"/>
        <v>6774.28452813344</v>
      </c>
      <c r="I316" s="426">
        <f t="shared" si="45"/>
        <v>1354.85690562669</v>
      </c>
      <c r="J316" s="437">
        <f t="shared" si="46"/>
        <v>1354.85690562669</v>
      </c>
      <c r="K316" s="591"/>
      <c r="L316" s="591" t="s">
        <v>214</v>
      </c>
      <c r="M316" s="591" t="s">
        <v>200</v>
      </c>
      <c r="N316" s="592">
        <v>0.204</v>
      </c>
    </row>
    <row r="317" s="539" customFormat="1" ht="15.95" customHeight="1" spans="1:14">
      <c r="A317" s="378"/>
      <c r="B317" s="11" t="s">
        <v>289</v>
      </c>
      <c r="C317" s="471" t="s">
        <v>175</v>
      </c>
      <c r="D317" s="577">
        <v>56.32</v>
      </c>
      <c r="E317" s="577">
        <v>2200</v>
      </c>
      <c r="F317" s="578">
        <v>123904</v>
      </c>
      <c r="G317" s="425">
        <v>71.02</v>
      </c>
      <c r="H317" s="425">
        <f t="shared" si="47"/>
        <v>2200</v>
      </c>
      <c r="I317" s="426">
        <f t="shared" si="45"/>
        <v>156244</v>
      </c>
      <c r="J317" s="437">
        <f t="shared" si="46"/>
        <v>156244</v>
      </c>
      <c r="K317" s="591"/>
      <c r="L317" s="591" t="s">
        <v>289</v>
      </c>
      <c r="M317" s="591" t="s">
        <v>175</v>
      </c>
      <c r="N317" s="592">
        <v>63.35</v>
      </c>
    </row>
    <row r="318" s="539" customFormat="1" ht="15.95" customHeight="1" spans="1:14">
      <c r="A318" s="384" t="s">
        <v>320</v>
      </c>
      <c r="B318" s="583" t="s">
        <v>290</v>
      </c>
      <c r="C318" s="584"/>
      <c r="D318" s="577"/>
      <c r="E318" s="577"/>
      <c r="F318" s="578"/>
      <c r="G318" s="425"/>
      <c r="H318" s="425"/>
      <c r="I318" s="426">
        <f>SUM(I319:I331)</f>
        <v>115046.19516263</v>
      </c>
      <c r="J318" s="437">
        <f t="shared" ref="J318:J360" si="48">G318*H318</f>
        <v>0</v>
      </c>
      <c r="K318" s="591" t="s">
        <v>320</v>
      </c>
      <c r="L318" s="591" t="s">
        <v>290</v>
      </c>
      <c r="M318" s="591"/>
      <c r="N318" s="593"/>
    </row>
    <row r="319" s="539" customFormat="1" ht="15.95" customHeight="1" spans="1:14">
      <c r="A319" s="384"/>
      <c r="B319" s="415" t="s">
        <v>291</v>
      </c>
      <c r="C319" s="384" t="s">
        <v>169</v>
      </c>
      <c r="D319" s="577"/>
      <c r="E319" s="577"/>
      <c r="F319" s="578"/>
      <c r="G319" s="425">
        <v>309.402624</v>
      </c>
      <c r="H319" s="425">
        <f t="shared" ref="H319:H331" si="49">H247</f>
        <v>5.59741698768686</v>
      </c>
      <c r="I319" s="426">
        <f t="shared" ref="I319:I331" si="50">G319*H319</f>
        <v>1731.85550361249</v>
      </c>
      <c r="J319" s="437">
        <f t="shared" si="48"/>
        <v>1731.85550361249</v>
      </c>
      <c r="K319" s="591"/>
      <c r="L319" s="591" t="s">
        <v>291</v>
      </c>
      <c r="M319" s="591" t="s">
        <v>169</v>
      </c>
      <c r="N319" s="592">
        <v>309.402624</v>
      </c>
    </row>
    <row r="320" s="539" customFormat="1" ht="15.95" customHeight="1" spans="1:14">
      <c r="A320" s="384"/>
      <c r="B320" s="415" t="s">
        <v>292</v>
      </c>
      <c r="C320" s="384" t="s">
        <v>169</v>
      </c>
      <c r="D320" s="577"/>
      <c r="E320" s="577"/>
      <c r="F320" s="578"/>
      <c r="G320" s="425">
        <v>100.0224</v>
      </c>
      <c r="H320" s="425">
        <f t="shared" si="49"/>
        <v>13.9556177229579</v>
      </c>
      <c r="I320" s="426">
        <f t="shared" si="50"/>
        <v>1395.87437813278</v>
      </c>
      <c r="J320" s="437">
        <f t="shared" si="48"/>
        <v>1395.87437813278</v>
      </c>
      <c r="K320" s="591"/>
      <c r="L320" s="591" t="s">
        <v>292</v>
      </c>
      <c r="M320" s="591" t="s">
        <v>169</v>
      </c>
      <c r="N320" s="592">
        <v>100.0224</v>
      </c>
    </row>
    <row r="321" s="539" customFormat="1" ht="15.95" customHeight="1" spans="1:14">
      <c r="A321" s="384"/>
      <c r="B321" s="415" t="s">
        <v>293</v>
      </c>
      <c r="C321" s="384" t="s">
        <v>169</v>
      </c>
      <c r="D321" s="577"/>
      <c r="E321" s="577"/>
      <c r="F321" s="578"/>
      <c r="G321" s="425">
        <v>57.1642</v>
      </c>
      <c r="H321" s="425">
        <f t="shared" si="49"/>
        <v>977.945649219147</v>
      </c>
      <c r="I321" s="426">
        <f t="shared" si="50"/>
        <v>55903.4806810932</v>
      </c>
      <c r="J321" s="437">
        <f t="shared" si="48"/>
        <v>55903.4806810932</v>
      </c>
      <c r="K321" s="591"/>
      <c r="L321" s="591" t="s">
        <v>293</v>
      </c>
      <c r="M321" s="591" t="s">
        <v>169</v>
      </c>
      <c r="N321" s="592">
        <v>57.1642</v>
      </c>
    </row>
    <row r="322" s="539" customFormat="1" ht="15.95" customHeight="1" spans="1:14">
      <c r="A322" s="384"/>
      <c r="B322" s="415" t="s">
        <v>294</v>
      </c>
      <c r="C322" s="384" t="s">
        <v>169</v>
      </c>
      <c r="D322" s="577"/>
      <c r="E322" s="577"/>
      <c r="F322" s="578"/>
      <c r="G322" s="425">
        <v>15.71556</v>
      </c>
      <c r="H322" s="425">
        <f t="shared" si="49"/>
        <v>583.06661449156</v>
      </c>
      <c r="I322" s="426">
        <f t="shared" si="50"/>
        <v>9163.21836403898</v>
      </c>
      <c r="J322" s="437">
        <f t="shared" si="48"/>
        <v>9163.21836403898</v>
      </c>
      <c r="K322" s="591"/>
      <c r="L322" s="591" t="s">
        <v>294</v>
      </c>
      <c r="M322" s="591" t="s">
        <v>169</v>
      </c>
      <c r="N322" s="592">
        <v>15.71556</v>
      </c>
    </row>
    <row r="323" s="539" customFormat="1" ht="15.95" customHeight="1" spans="1:14">
      <c r="A323" s="384"/>
      <c r="B323" s="415" t="s">
        <v>295</v>
      </c>
      <c r="C323" s="384" t="s">
        <v>169</v>
      </c>
      <c r="D323" s="577"/>
      <c r="E323" s="577"/>
      <c r="F323" s="578"/>
      <c r="G323" s="425">
        <v>0.968</v>
      </c>
      <c r="H323" s="425">
        <f t="shared" si="49"/>
        <v>574.648992970568</v>
      </c>
      <c r="I323" s="426">
        <f t="shared" si="50"/>
        <v>556.26022519551</v>
      </c>
      <c r="J323" s="437">
        <f t="shared" si="48"/>
        <v>556.26022519551</v>
      </c>
      <c r="K323" s="591"/>
      <c r="L323" s="591" t="s">
        <v>295</v>
      </c>
      <c r="M323" s="591" t="s">
        <v>169</v>
      </c>
      <c r="N323" s="592">
        <v>0.968</v>
      </c>
    </row>
    <row r="324" s="539" customFormat="1" ht="15.95" customHeight="1" spans="1:14">
      <c r="A324" s="384"/>
      <c r="B324" s="415" t="s">
        <v>296</v>
      </c>
      <c r="C324" s="384" t="s">
        <v>169</v>
      </c>
      <c r="D324" s="577"/>
      <c r="E324" s="577"/>
      <c r="F324" s="578"/>
      <c r="G324" s="425">
        <v>1</v>
      </c>
      <c r="H324" s="425">
        <f t="shared" si="49"/>
        <v>608.128267909413</v>
      </c>
      <c r="I324" s="426">
        <f t="shared" si="50"/>
        <v>608.128267909413</v>
      </c>
      <c r="J324" s="437">
        <f t="shared" si="48"/>
        <v>608.128267909413</v>
      </c>
      <c r="K324" s="591"/>
      <c r="L324" s="591" t="s">
        <v>296</v>
      </c>
      <c r="M324" s="591" t="s">
        <v>169</v>
      </c>
      <c r="N324" s="592">
        <v>1</v>
      </c>
    </row>
    <row r="325" s="539" customFormat="1" ht="15.95" customHeight="1" spans="1:14">
      <c r="A325" s="384"/>
      <c r="B325" s="415" t="s">
        <v>297</v>
      </c>
      <c r="C325" s="384" t="s">
        <v>169</v>
      </c>
      <c r="D325" s="577"/>
      <c r="E325" s="577"/>
      <c r="F325" s="578"/>
      <c r="G325" s="425">
        <v>2.24508</v>
      </c>
      <c r="H325" s="425">
        <f t="shared" si="49"/>
        <v>500.913286409664</v>
      </c>
      <c r="I325" s="426">
        <f t="shared" si="50"/>
        <v>1124.59040105261</v>
      </c>
      <c r="J325" s="437">
        <f t="shared" si="48"/>
        <v>1124.59040105261</v>
      </c>
      <c r="K325" s="591"/>
      <c r="L325" s="591" t="s">
        <v>297</v>
      </c>
      <c r="M325" s="591" t="s">
        <v>169</v>
      </c>
      <c r="N325" s="592">
        <v>2.24508</v>
      </c>
    </row>
    <row r="326" s="539" customFormat="1" ht="15.95" customHeight="1" spans="1:14">
      <c r="A326" s="384"/>
      <c r="B326" s="415" t="s">
        <v>298</v>
      </c>
      <c r="C326" s="384" t="s">
        <v>169</v>
      </c>
      <c r="D326" s="577"/>
      <c r="E326" s="577"/>
      <c r="F326" s="578"/>
      <c r="G326" s="425">
        <v>0.484</v>
      </c>
      <c r="H326" s="425">
        <f t="shared" si="49"/>
        <v>583.06661449156</v>
      </c>
      <c r="I326" s="426">
        <f t="shared" si="50"/>
        <v>282.204241413915</v>
      </c>
      <c r="J326" s="437">
        <f t="shared" si="48"/>
        <v>282.204241413915</v>
      </c>
      <c r="K326" s="591"/>
      <c r="L326" s="591" t="s">
        <v>298</v>
      </c>
      <c r="M326" s="591" t="s">
        <v>169</v>
      </c>
      <c r="N326" s="592">
        <v>0.484</v>
      </c>
    </row>
    <row r="327" s="539" customFormat="1" ht="15.95" customHeight="1" spans="1:14">
      <c r="A327" s="384"/>
      <c r="B327" s="415" t="s">
        <v>214</v>
      </c>
      <c r="C327" s="384" t="s">
        <v>200</v>
      </c>
      <c r="D327" s="577"/>
      <c r="E327" s="577"/>
      <c r="F327" s="578"/>
      <c r="G327" s="425">
        <v>0.74367513472</v>
      </c>
      <c r="H327" s="425">
        <f t="shared" si="49"/>
        <v>6774.28452813344</v>
      </c>
      <c r="I327" s="426">
        <f t="shared" si="50"/>
        <v>5037.86695909125</v>
      </c>
      <c r="J327" s="437">
        <f t="shared" si="48"/>
        <v>5037.86695909125</v>
      </c>
      <c r="K327" s="591"/>
      <c r="L327" s="591" t="s">
        <v>214</v>
      </c>
      <c r="M327" s="591" t="s">
        <v>200</v>
      </c>
      <c r="N327" s="592">
        <v>0.74367513472</v>
      </c>
    </row>
    <row r="328" s="539" customFormat="1" ht="15.95" customHeight="1" spans="1:14">
      <c r="A328" s="384"/>
      <c r="B328" s="415" t="s">
        <v>299</v>
      </c>
      <c r="C328" s="384" t="s">
        <v>200</v>
      </c>
      <c r="D328" s="577"/>
      <c r="E328" s="577"/>
      <c r="F328" s="578"/>
      <c r="G328" s="425">
        <v>1.35</v>
      </c>
      <c r="H328" s="425">
        <f t="shared" si="49"/>
        <v>7112.99875454011</v>
      </c>
      <c r="I328" s="426">
        <f t="shared" si="50"/>
        <v>9602.54831862915</v>
      </c>
      <c r="J328" s="437">
        <f t="shared" si="48"/>
        <v>9602.54831862915</v>
      </c>
      <c r="K328" s="591"/>
      <c r="L328" s="591" t="s">
        <v>299</v>
      </c>
      <c r="M328" s="591" t="s">
        <v>200</v>
      </c>
      <c r="N328" s="592">
        <v>1.35</v>
      </c>
    </row>
    <row r="329" s="539" customFormat="1" ht="15.95" customHeight="1" spans="1:14">
      <c r="A329" s="384"/>
      <c r="B329" s="415" t="s">
        <v>300</v>
      </c>
      <c r="C329" s="384" t="s">
        <v>200</v>
      </c>
      <c r="D329" s="577"/>
      <c r="E329" s="577"/>
      <c r="F329" s="578"/>
      <c r="G329" s="425">
        <v>1.56</v>
      </c>
      <c r="H329" s="425">
        <f t="shared" si="49"/>
        <v>7112.99875454011</v>
      </c>
      <c r="I329" s="426">
        <f t="shared" si="50"/>
        <v>11096.2780570826</v>
      </c>
      <c r="J329" s="437">
        <f t="shared" si="48"/>
        <v>11096.2780570826</v>
      </c>
      <c r="K329" s="591"/>
      <c r="L329" s="591" t="s">
        <v>300</v>
      </c>
      <c r="M329" s="591" t="s">
        <v>200</v>
      </c>
      <c r="N329" s="592">
        <v>1.56</v>
      </c>
    </row>
    <row r="330" s="539" customFormat="1" ht="15.95" customHeight="1" spans="1:14">
      <c r="A330" s="384"/>
      <c r="B330" s="415" t="s">
        <v>301</v>
      </c>
      <c r="C330" s="384" t="s">
        <v>169</v>
      </c>
      <c r="D330" s="577"/>
      <c r="E330" s="577"/>
      <c r="F330" s="578"/>
      <c r="G330" s="425">
        <v>0.72</v>
      </c>
      <c r="H330" s="425">
        <f t="shared" si="49"/>
        <v>24000</v>
      </c>
      <c r="I330" s="426">
        <f t="shared" si="50"/>
        <v>17280</v>
      </c>
      <c r="J330" s="437">
        <f t="shared" si="48"/>
        <v>17280</v>
      </c>
      <c r="K330" s="591"/>
      <c r="L330" s="591" t="s">
        <v>301</v>
      </c>
      <c r="M330" s="591" t="s">
        <v>169</v>
      </c>
      <c r="N330" s="592">
        <v>0.72</v>
      </c>
    </row>
    <row r="331" s="539" customFormat="1" ht="15.95" customHeight="1" spans="1:14">
      <c r="A331" s="384"/>
      <c r="B331" s="415" t="s">
        <v>302</v>
      </c>
      <c r="C331" s="384" t="s">
        <v>175</v>
      </c>
      <c r="D331" s="577"/>
      <c r="E331" s="577"/>
      <c r="F331" s="578"/>
      <c r="G331" s="425">
        <v>5.8</v>
      </c>
      <c r="H331" s="425">
        <f t="shared" si="49"/>
        <v>217.912028513414</v>
      </c>
      <c r="I331" s="426">
        <f t="shared" si="50"/>
        <v>1263.8897653778</v>
      </c>
      <c r="J331" s="437">
        <f t="shared" si="48"/>
        <v>1263.8897653778</v>
      </c>
      <c r="K331" s="591"/>
      <c r="L331" s="591" t="s">
        <v>302</v>
      </c>
      <c r="M331" s="591" t="s">
        <v>175</v>
      </c>
      <c r="N331" s="592">
        <v>5.8</v>
      </c>
    </row>
    <row r="332" s="539" customFormat="1" ht="15.95" customHeight="1" spans="1:14">
      <c r="A332" s="378" t="s">
        <v>321</v>
      </c>
      <c r="B332" s="477" t="s">
        <v>303</v>
      </c>
      <c r="C332" s="478" t="s">
        <v>193</v>
      </c>
      <c r="D332" s="585">
        <v>1</v>
      </c>
      <c r="E332" s="585"/>
      <c r="F332" s="586">
        <v>2142.35423503389</v>
      </c>
      <c r="G332" s="425">
        <v>1</v>
      </c>
      <c r="H332" s="425"/>
      <c r="I332" s="426">
        <f>SUM(I333:I339)</f>
        <v>2142.27594380119</v>
      </c>
      <c r="J332" s="437">
        <f t="shared" si="48"/>
        <v>0</v>
      </c>
      <c r="K332" s="591" t="s">
        <v>321</v>
      </c>
      <c r="L332" s="591" t="s">
        <v>303</v>
      </c>
      <c r="M332" s="593" t="s">
        <v>193</v>
      </c>
      <c r="N332" s="592">
        <v>1</v>
      </c>
    </row>
    <row r="333" s="539" customFormat="1" ht="15.95" customHeight="1" spans="1:14">
      <c r="A333" s="378"/>
      <c r="B333" s="406" t="s">
        <v>304</v>
      </c>
      <c r="C333" s="479" t="s">
        <v>305</v>
      </c>
      <c r="D333" s="587">
        <v>1</v>
      </c>
      <c r="E333" s="587">
        <v>1000</v>
      </c>
      <c r="F333" s="588">
        <v>1000</v>
      </c>
      <c r="G333" s="425">
        <v>1</v>
      </c>
      <c r="H333" s="425">
        <f t="shared" ref="H333:H339" si="51">H261</f>
        <v>1000</v>
      </c>
      <c r="I333" s="426">
        <f t="shared" ref="I333:I339" si="52">G333*H333</f>
        <v>1000</v>
      </c>
      <c r="J333" s="437">
        <f t="shared" si="48"/>
        <v>1000</v>
      </c>
      <c r="K333" s="591"/>
      <c r="L333" s="591" t="s">
        <v>304</v>
      </c>
      <c r="M333" s="591" t="s">
        <v>305</v>
      </c>
      <c r="N333" s="592">
        <v>1</v>
      </c>
    </row>
    <row r="334" s="539" customFormat="1" ht="15.95" customHeight="1" spans="1:14">
      <c r="A334" s="378"/>
      <c r="B334" s="11" t="s">
        <v>306</v>
      </c>
      <c r="C334" s="480" t="s">
        <v>307</v>
      </c>
      <c r="D334" s="589">
        <v>0.763337925</v>
      </c>
      <c r="E334" s="589">
        <v>573.476964915539</v>
      </c>
      <c r="F334" s="590">
        <v>437.756716433925</v>
      </c>
      <c r="G334" s="425">
        <v>0.763337925</v>
      </c>
      <c r="H334" s="425">
        <f t="shared" si="51"/>
        <v>573.383274298207</v>
      </c>
      <c r="I334" s="426">
        <f t="shared" si="52"/>
        <v>437.685198832499</v>
      </c>
      <c r="J334" s="437">
        <f t="shared" si="48"/>
        <v>437.685198832499</v>
      </c>
      <c r="K334" s="591"/>
      <c r="L334" s="591" t="s">
        <v>306</v>
      </c>
      <c r="M334" s="592" t="s">
        <v>307</v>
      </c>
      <c r="N334" s="592">
        <v>0.763337925</v>
      </c>
    </row>
    <row r="335" s="539" customFormat="1" ht="15.95" customHeight="1" spans="1:14">
      <c r="A335" s="378"/>
      <c r="B335" s="11" t="s">
        <v>308</v>
      </c>
      <c r="C335" s="480" t="s">
        <v>307</v>
      </c>
      <c r="D335" s="589">
        <v>0.1764</v>
      </c>
      <c r="E335" s="589">
        <v>647.348816145622</v>
      </c>
      <c r="F335" s="590">
        <v>114.192331168088</v>
      </c>
      <c r="G335" s="425">
        <v>0.1764</v>
      </c>
      <c r="H335" s="425">
        <f t="shared" si="51"/>
        <v>647.324646660022</v>
      </c>
      <c r="I335" s="426">
        <f t="shared" si="52"/>
        <v>114.188067670828</v>
      </c>
      <c r="J335" s="437">
        <f t="shared" si="48"/>
        <v>114.188067670828</v>
      </c>
      <c r="K335" s="591"/>
      <c r="L335" s="591" t="s">
        <v>308</v>
      </c>
      <c r="M335" s="592" t="s">
        <v>307</v>
      </c>
      <c r="N335" s="592">
        <v>0.1764</v>
      </c>
    </row>
    <row r="336" s="539" customFormat="1" ht="15.95" customHeight="1" spans="1:14">
      <c r="A336" s="378"/>
      <c r="B336" s="11" t="s">
        <v>309</v>
      </c>
      <c r="C336" s="480" t="s">
        <v>307</v>
      </c>
      <c r="D336" s="589">
        <v>0.1038555</v>
      </c>
      <c r="E336" s="589">
        <v>647.348816145622</v>
      </c>
      <c r="F336" s="590">
        <v>67.2307349752116</v>
      </c>
      <c r="G336" s="425">
        <v>0.1038555</v>
      </c>
      <c r="H336" s="425">
        <f t="shared" si="51"/>
        <v>647.324646660022</v>
      </c>
      <c r="I336" s="426">
        <f t="shared" si="52"/>
        <v>67.2282248411999</v>
      </c>
      <c r="J336" s="437">
        <f t="shared" si="48"/>
        <v>67.2282248411999</v>
      </c>
      <c r="K336" s="591"/>
      <c r="L336" s="591" t="s">
        <v>309</v>
      </c>
      <c r="M336" s="592" t="s">
        <v>307</v>
      </c>
      <c r="N336" s="592">
        <v>0.1038555</v>
      </c>
    </row>
    <row r="337" s="539" customFormat="1" ht="15.95" customHeight="1" spans="1:14">
      <c r="A337" s="378"/>
      <c r="B337" s="11" t="s">
        <v>310</v>
      </c>
      <c r="C337" s="7" t="s">
        <v>305</v>
      </c>
      <c r="D337" s="552">
        <v>1</v>
      </c>
      <c r="E337" s="552">
        <v>50</v>
      </c>
      <c r="F337" s="553">
        <v>50</v>
      </c>
      <c r="G337" s="425">
        <f>G332</f>
        <v>1</v>
      </c>
      <c r="H337" s="425">
        <f t="shared" si="51"/>
        <v>50</v>
      </c>
      <c r="I337" s="426">
        <f t="shared" si="52"/>
        <v>50</v>
      </c>
      <c r="J337" s="437">
        <f t="shared" si="48"/>
        <v>50</v>
      </c>
      <c r="K337" s="591"/>
      <c r="L337" s="591" t="s">
        <v>310</v>
      </c>
      <c r="M337" s="591" t="s">
        <v>305</v>
      </c>
      <c r="N337" s="592">
        <v>1</v>
      </c>
    </row>
    <row r="338" s="539" customFormat="1" ht="15.95" customHeight="1" spans="1:14">
      <c r="A338" s="378"/>
      <c r="B338" s="11" t="s">
        <v>311</v>
      </c>
      <c r="C338" s="481" t="s">
        <v>307</v>
      </c>
      <c r="D338" s="594">
        <v>0.19732545</v>
      </c>
      <c r="E338" s="594">
        <v>583.993706543077</v>
      </c>
      <c r="F338" s="595">
        <v>115.236820940781</v>
      </c>
      <c r="G338" s="425">
        <v>0.19732545</v>
      </c>
      <c r="H338" s="425">
        <f t="shared" si="51"/>
        <v>583.993706543077</v>
      </c>
      <c r="I338" s="426">
        <f t="shared" si="52"/>
        <v>115.236820940781</v>
      </c>
      <c r="J338" s="437">
        <f t="shared" si="48"/>
        <v>115.236820940781</v>
      </c>
      <c r="K338" s="591"/>
      <c r="L338" s="591" t="s">
        <v>311</v>
      </c>
      <c r="M338" s="592" t="s">
        <v>307</v>
      </c>
      <c r="N338" s="592">
        <v>0.19732545</v>
      </c>
    </row>
    <row r="339" s="539" customFormat="1" ht="15.95" customHeight="1" spans="1:14">
      <c r="A339" s="378"/>
      <c r="B339" s="482" t="s">
        <v>312</v>
      </c>
      <c r="C339" s="483" t="s">
        <v>175</v>
      </c>
      <c r="D339" s="594">
        <v>19.2132675</v>
      </c>
      <c r="E339" s="594">
        <v>18.6297115530134</v>
      </c>
      <c r="F339" s="595">
        <v>357.937631515887</v>
      </c>
      <c r="G339" s="425">
        <v>19.2132675</v>
      </c>
      <c r="H339" s="425">
        <f t="shared" si="51"/>
        <v>18.6297115530134</v>
      </c>
      <c r="I339" s="426">
        <f t="shared" si="52"/>
        <v>357.937631515887</v>
      </c>
      <c r="J339" s="437">
        <f t="shared" si="48"/>
        <v>357.937631515887</v>
      </c>
      <c r="K339" s="591"/>
      <c r="L339" s="591" t="s">
        <v>312</v>
      </c>
      <c r="M339" s="593" t="s">
        <v>175</v>
      </c>
      <c r="N339" s="592">
        <v>19.2132675</v>
      </c>
    </row>
    <row r="340" ht="15.95" customHeight="1" spans="1:16361">
      <c r="A340" s="468">
        <v>2</v>
      </c>
      <c r="B340" s="418" t="s">
        <v>324</v>
      </c>
      <c r="C340" s="468" t="s">
        <v>248</v>
      </c>
      <c r="D340" s="573"/>
      <c r="E340" s="573"/>
      <c r="F340" s="574">
        <v>5652750.58921733</v>
      </c>
      <c r="G340" s="298"/>
      <c r="H340" s="425"/>
      <c r="I340" s="434">
        <f>I341+I398+I453</f>
        <v>4168443.92884242</v>
      </c>
      <c r="J340" s="437">
        <f t="shared" si="48"/>
        <v>0</v>
      </c>
      <c r="XDO340" s="539"/>
      <c r="XDP340" s="539"/>
      <c r="XDQ340" s="539"/>
      <c r="XDR340" s="539"/>
      <c r="XDS340" s="539"/>
      <c r="XDY340" s="539"/>
      <c r="XDZ340" s="539"/>
      <c r="XEA340" s="539"/>
      <c r="XEB340" s="539"/>
      <c r="XEC340" s="539"/>
      <c r="XED340" s="539"/>
      <c r="XEE340" s="539"/>
      <c r="XEF340" s="539"/>
      <c r="XEG340" s="539"/>
    </row>
    <row r="341" ht="15.95" customHeight="1" spans="1:16361">
      <c r="A341" s="468">
        <v>2.1</v>
      </c>
      <c r="B341" s="418" t="s">
        <v>325</v>
      </c>
      <c r="C341" s="468"/>
      <c r="D341" s="573"/>
      <c r="E341" s="573"/>
      <c r="F341" s="574">
        <v>2577749.2101547</v>
      </c>
      <c r="G341" s="298"/>
      <c r="H341" s="425"/>
      <c r="I341" s="426">
        <f>I342+I356+I372+I387+I393+I396</f>
        <v>1739518.81346755</v>
      </c>
      <c r="J341" s="437">
        <f t="shared" si="48"/>
        <v>0</v>
      </c>
      <c r="K341" s="605" t="s">
        <v>46</v>
      </c>
      <c r="L341" s="605" t="s">
        <v>324</v>
      </c>
      <c r="M341" s="605" t="s">
        <v>248</v>
      </c>
      <c r="N341" s="605"/>
      <c r="O341" s="606"/>
      <c r="P341" s="606"/>
      <c r="XDO341" s="539"/>
      <c r="XDP341" s="539"/>
      <c r="XDQ341" s="539"/>
      <c r="XDR341" s="539"/>
      <c r="XDS341" s="539"/>
      <c r="XDY341" s="539"/>
      <c r="XDZ341" s="539"/>
      <c r="XEA341" s="539"/>
      <c r="XEB341" s="539"/>
      <c r="XEC341" s="539"/>
      <c r="XED341" s="539"/>
      <c r="XEE341" s="539"/>
      <c r="XEF341" s="539"/>
      <c r="XEG341" s="539"/>
    </row>
    <row r="342" ht="15.95" customHeight="1" spans="1:16361">
      <c r="A342" s="123" t="s">
        <v>326</v>
      </c>
      <c r="B342" s="406" t="s">
        <v>327</v>
      </c>
      <c r="C342" s="468"/>
      <c r="D342" s="573"/>
      <c r="E342" s="573"/>
      <c r="F342" s="574">
        <v>1662360.3491961</v>
      </c>
      <c r="G342" s="298"/>
      <c r="H342" s="425"/>
      <c r="I342" s="426">
        <f>I343+I347+I348+I351+I354</f>
        <v>789790.053</v>
      </c>
      <c r="J342" s="437">
        <f t="shared" si="48"/>
        <v>0</v>
      </c>
      <c r="K342" s="605" t="s">
        <v>328</v>
      </c>
      <c r="L342" s="605" t="s">
        <v>325</v>
      </c>
      <c r="M342" s="605"/>
      <c r="N342" s="605"/>
      <c r="O342" s="606"/>
      <c r="P342" s="606"/>
      <c r="XDO342" s="539"/>
      <c r="XDP342" s="539"/>
      <c r="XDQ342" s="539"/>
      <c r="XDR342" s="539"/>
      <c r="XDS342" s="539"/>
      <c r="XDY342" s="539"/>
      <c r="XDZ342" s="539"/>
      <c r="XEA342" s="539"/>
      <c r="XEB342" s="539"/>
      <c r="XEC342" s="539"/>
      <c r="XED342" s="539"/>
      <c r="XEE342" s="539"/>
      <c r="XEF342" s="539"/>
      <c r="XEG342" s="539"/>
    </row>
    <row r="343" ht="15.95" customHeight="1" spans="1:16361">
      <c r="A343" s="123" t="s">
        <v>329</v>
      </c>
      <c r="B343" s="406" t="s">
        <v>330</v>
      </c>
      <c r="C343" s="123" t="s">
        <v>248</v>
      </c>
      <c r="D343" s="596"/>
      <c r="E343" s="596"/>
      <c r="F343" s="597">
        <v>1287835.39</v>
      </c>
      <c r="G343" s="298"/>
      <c r="H343" s="425"/>
      <c r="I343" s="426">
        <f>SUM(I344:I346)</f>
        <v>557330.68</v>
      </c>
      <c r="J343" s="437">
        <f t="shared" si="48"/>
        <v>0</v>
      </c>
      <c r="K343" s="605">
        <v>1</v>
      </c>
      <c r="L343" s="605" t="s">
        <v>327</v>
      </c>
      <c r="M343" s="605"/>
      <c r="N343" s="605"/>
      <c r="O343" s="606"/>
      <c r="P343" s="606"/>
      <c r="XDO343" s="539"/>
      <c r="XDP343" s="539"/>
      <c r="XDQ343" s="539"/>
      <c r="XDR343" s="539"/>
      <c r="XDS343" s="539"/>
      <c r="XDY343" s="539"/>
      <c r="XDZ343" s="539"/>
      <c r="XEA343" s="539"/>
      <c r="XEB343" s="539"/>
      <c r="XEC343" s="539"/>
      <c r="XED343" s="539"/>
      <c r="XEE343" s="539"/>
      <c r="XEF343" s="539"/>
      <c r="XEG343" s="539"/>
    </row>
    <row r="344" ht="15.95" customHeight="1" spans="1:16361">
      <c r="A344" s="123" t="s">
        <v>248</v>
      </c>
      <c r="B344" s="406" t="s">
        <v>331</v>
      </c>
      <c r="C344" s="123" t="s">
        <v>167</v>
      </c>
      <c r="D344" s="596">
        <v>7747</v>
      </c>
      <c r="E344" s="596">
        <v>82.42</v>
      </c>
      <c r="F344" s="597">
        <v>638507.74</v>
      </c>
      <c r="G344" s="298">
        <v>4120</v>
      </c>
      <c r="H344" s="425">
        <f>管材!M16</f>
        <v>42.3</v>
      </c>
      <c r="I344" s="426">
        <f>G344*H344</f>
        <v>174276</v>
      </c>
      <c r="J344" s="437">
        <f t="shared" si="48"/>
        <v>174276</v>
      </c>
      <c r="K344" s="605" t="s">
        <v>329</v>
      </c>
      <c r="L344" s="605" t="s">
        <v>330</v>
      </c>
      <c r="M344" s="605" t="s">
        <v>248</v>
      </c>
      <c r="N344" s="605"/>
      <c r="O344" s="606"/>
      <c r="P344" s="606"/>
      <c r="XDO344" s="539"/>
      <c r="XDP344" s="539"/>
      <c r="XDQ344" s="539"/>
      <c r="XDR344" s="539"/>
      <c r="XDS344" s="539"/>
      <c r="XDY344" s="539"/>
      <c r="XDZ344" s="539"/>
      <c r="XEA344" s="539"/>
      <c r="XEB344" s="539"/>
      <c r="XEC344" s="539"/>
      <c r="XED344" s="539"/>
      <c r="XEE344" s="539"/>
      <c r="XEF344" s="539"/>
      <c r="XEG344" s="539"/>
    </row>
    <row r="345" ht="15.95" customHeight="1" spans="1:16361">
      <c r="A345" s="123" t="s">
        <v>248</v>
      </c>
      <c r="B345" s="406" t="s">
        <v>332</v>
      </c>
      <c r="C345" s="123" t="s">
        <v>167</v>
      </c>
      <c r="D345" s="596">
        <v>8425</v>
      </c>
      <c r="E345" s="596">
        <v>67.09</v>
      </c>
      <c r="F345" s="597">
        <v>565233.25</v>
      </c>
      <c r="G345" s="298">
        <v>9547</v>
      </c>
      <c r="H345" s="425">
        <f>管材!L16</f>
        <v>34.54</v>
      </c>
      <c r="I345" s="426">
        <f>G345*H345</f>
        <v>329753.38</v>
      </c>
      <c r="J345" s="437">
        <f t="shared" si="48"/>
        <v>329753.38</v>
      </c>
      <c r="K345" s="605" t="s">
        <v>248</v>
      </c>
      <c r="L345" s="605" t="s">
        <v>331</v>
      </c>
      <c r="M345" s="605" t="s">
        <v>167</v>
      </c>
      <c r="N345" s="605">
        <v>4000</v>
      </c>
      <c r="O345" s="606">
        <v>1.03</v>
      </c>
      <c r="P345" s="606">
        <v>4120</v>
      </c>
      <c r="XDO345" s="539"/>
      <c r="XDP345" s="539"/>
      <c r="XDQ345" s="539"/>
      <c r="XDR345" s="539"/>
      <c r="XDS345" s="539"/>
      <c r="XDY345" s="539"/>
      <c r="XDZ345" s="539"/>
      <c r="XEA345" s="539"/>
      <c r="XEB345" s="539"/>
      <c r="XEC345" s="539"/>
      <c r="XED345" s="539"/>
      <c r="XEE345" s="539"/>
      <c r="XEF345" s="539"/>
      <c r="XEG345" s="539"/>
    </row>
    <row r="346" ht="15.95" customHeight="1" spans="1:16361">
      <c r="A346" s="123"/>
      <c r="B346" s="406" t="s">
        <v>333</v>
      </c>
      <c r="C346" s="123" t="s">
        <v>167</v>
      </c>
      <c r="D346" s="596">
        <v>16172</v>
      </c>
      <c r="E346" s="596">
        <v>5.2</v>
      </c>
      <c r="F346" s="597">
        <v>84094.4</v>
      </c>
      <c r="G346" s="298">
        <f>G344+G345</f>
        <v>13667</v>
      </c>
      <c r="H346" s="425">
        <v>3.9</v>
      </c>
      <c r="I346" s="426">
        <f>G346*H346</f>
        <v>53301.3</v>
      </c>
      <c r="J346" s="437">
        <f t="shared" si="48"/>
        <v>53301.3</v>
      </c>
      <c r="K346" s="605" t="s">
        <v>248</v>
      </c>
      <c r="L346" s="605" t="s">
        <v>332</v>
      </c>
      <c r="M346" s="605" t="s">
        <v>167</v>
      </c>
      <c r="N346" s="605">
        <v>9269</v>
      </c>
      <c r="O346" s="606">
        <v>1.03</v>
      </c>
      <c r="P346" s="606">
        <v>9547.07</v>
      </c>
      <c r="XDO346" s="539"/>
      <c r="XDP346" s="539"/>
      <c r="XDQ346" s="539"/>
      <c r="XDR346" s="539"/>
      <c r="XDS346" s="539"/>
      <c r="XDY346" s="539"/>
      <c r="XDZ346" s="539"/>
      <c r="XEA346" s="539"/>
      <c r="XEB346" s="539"/>
      <c r="XEC346" s="539"/>
      <c r="XED346" s="539"/>
      <c r="XEE346" s="539"/>
      <c r="XEF346" s="539"/>
      <c r="XEG346" s="539"/>
    </row>
    <row r="347" ht="15.95" customHeight="1" spans="1:16361">
      <c r="A347" s="123" t="s">
        <v>334</v>
      </c>
      <c r="B347" s="406" t="s">
        <v>335</v>
      </c>
      <c r="C347" s="484" t="s">
        <v>336</v>
      </c>
      <c r="D347" s="596">
        <v>0.1</v>
      </c>
      <c r="E347" s="596">
        <v>1203740.99</v>
      </c>
      <c r="F347" s="597">
        <v>120374.099</v>
      </c>
      <c r="G347" s="484">
        <v>0.1</v>
      </c>
      <c r="H347" s="425">
        <f>I344+I345</f>
        <v>504029.38</v>
      </c>
      <c r="I347" s="426">
        <f>G347*H347</f>
        <v>50402.938</v>
      </c>
      <c r="J347" s="437">
        <f t="shared" si="48"/>
        <v>50402.938</v>
      </c>
      <c r="K347" s="605"/>
      <c r="L347" s="605" t="s">
        <v>333</v>
      </c>
      <c r="M347" s="605" t="s">
        <v>167</v>
      </c>
      <c r="N347" s="605">
        <v>13269</v>
      </c>
      <c r="O347" s="606">
        <v>1.03</v>
      </c>
      <c r="P347" s="606">
        <v>13667.07</v>
      </c>
      <c r="XDO347" s="539"/>
      <c r="XDP347" s="539"/>
      <c r="XDQ347" s="539"/>
      <c r="XDR347" s="539"/>
      <c r="XDS347" s="539"/>
      <c r="XDY347" s="539"/>
      <c r="XDZ347" s="539"/>
      <c r="XEA347" s="539"/>
      <c r="XEB347" s="539"/>
      <c r="XEC347" s="539"/>
      <c r="XED347" s="539"/>
      <c r="XEE347" s="539"/>
      <c r="XEF347" s="539"/>
      <c r="XEG347" s="539"/>
    </row>
    <row r="348" ht="15.95" customHeight="1" spans="1:16361">
      <c r="A348" s="123" t="s">
        <v>337</v>
      </c>
      <c r="B348" s="406" t="s">
        <v>338</v>
      </c>
      <c r="C348" s="123" t="s">
        <v>248</v>
      </c>
      <c r="D348" s="596"/>
      <c r="E348" s="596"/>
      <c r="F348" s="597">
        <v>185199.9851961</v>
      </c>
      <c r="G348" s="298"/>
      <c r="H348" s="425"/>
      <c r="I348" s="426">
        <f>SUM(I349:I350)</f>
        <v>138205.56</v>
      </c>
      <c r="J348" s="437">
        <f t="shared" si="48"/>
        <v>0</v>
      </c>
      <c r="K348" s="605" t="s">
        <v>334</v>
      </c>
      <c r="L348" s="605" t="s">
        <v>335</v>
      </c>
      <c r="M348" s="607">
        <v>0.1</v>
      </c>
      <c r="N348" s="605"/>
      <c r="O348" s="606"/>
      <c r="P348" s="606"/>
      <c r="XDO348" s="539"/>
      <c r="XDP348" s="539"/>
      <c r="XDQ348" s="539"/>
      <c r="XDR348" s="539"/>
      <c r="XDS348" s="539"/>
      <c r="XDY348" s="539"/>
      <c r="XDZ348" s="539"/>
      <c r="XEA348" s="539"/>
      <c r="XEB348" s="539"/>
      <c r="XEC348" s="539"/>
      <c r="XED348" s="539"/>
      <c r="XEE348" s="539"/>
      <c r="XEF348" s="539"/>
      <c r="XEG348" s="539"/>
    </row>
    <row r="349" ht="15.95" customHeight="1" spans="1:16361">
      <c r="A349" s="123" t="s">
        <v>248</v>
      </c>
      <c r="B349" s="406" t="s">
        <v>339</v>
      </c>
      <c r="C349" s="123" t="s">
        <v>169</v>
      </c>
      <c r="D349" s="596">
        <v>27654.1713</v>
      </c>
      <c r="E349" s="596">
        <v>3.98</v>
      </c>
      <c r="F349" s="597">
        <v>110063.601774</v>
      </c>
      <c r="G349" s="298">
        <v>20637</v>
      </c>
      <c r="H349" s="425">
        <v>3.98</v>
      </c>
      <c r="I349" s="426">
        <f>G349*H349</f>
        <v>82135.26</v>
      </c>
      <c r="J349" s="437">
        <f t="shared" si="48"/>
        <v>82135.26</v>
      </c>
      <c r="K349" s="605" t="s">
        <v>337</v>
      </c>
      <c r="L349" s="605" t="s">
        <v>338</v>
      </c>
      <c r="M349" s="605" t="s">
        <v>248</v>
      </c>
      <c r="N349" s="605"/>
      <c r="O349" s="606"/>
      <c r="P349" s="606"/>
      <c r="XDO349" s="539"/>
      <c r="XDP349" s="539"/>
      <c r="XDQ349" s="539"/>
      <c r="XDR349" s="539"/>
      <c r="XDS349" s="539"/>
      <c r="XDY349" s="539"/>
      <c r="XDZ349" s="539"/>
      <c r="XEA349" s="539"/>
      <c r="XEB349" s="539"/>
      <c r="XEC349" s="539"/>
      <c r="XED349" s="539"/>
      <c r="XEE349" s="539"/>
      <c r="XEF349" s="539"/>
      <c r="XEG349" s="539"/>
    </row>
    <row r="350" ht="15.95" customHeight="1" spans="1:16361">
      <c r="A350" s="123" t="s">
        <v>248</v>
      </c>
      <c r="B350" s="406" t="s">
        <v>340</v>
      </c>
      <c r="C350" s="123" t="s">
        <v>169</v>
      </c>
      <c r="D350" s="596">
        <v>26271.462735</v>
      </c>
      <c r="E350" s="596">
        <v>2.86</v>
      </c>
      <c r="F350" s="597">
        <v>75136.3834221</v>
      </c>
      <c r="G350" s="298">
        <v>19605</v>
      </c>
      <c r="H350" s="425">
        <v>2.86</v>
      </c>
      <c r="I350" s="426">
        <f>G350*H350</f>
        <v>56070.3</v>
      </c>
      <c r="J350" s="437">
        <f t="shared" si="48"/>
        <v>56070.3</v>
      </c>
      <c r="K350" s="605" t="s">
        <v>248</v>
      </c>
      <c r="L350" s="605" t="s">
        <v>339</v>
      </c>
      <c r="M350" s="605" t="s">
        <v>341</v>
      </c>
      <c r="N350" s="606">
        <v>20036.19</v>
      </c>
      <c r="O350" s="606">
        <v>1.03</v>
      </c>
      <c r="P350" s="606">
        <v>20637.2757</v>
      </c>
      <c r="XDO350" s="539"/>
      <c r="XDP350" s="539"/>
      <c r="XDQ350" s="539"/>
      <c r="XDR350" s="539"/>
      <c r="XDS350" s="539"/>
      <c r="XDY350" s="539"/>
      <c r="XDZ350" s="539"/>
      <c r="XEA350" s="539"/>
      <c r="XEB350" s="539"/>
      <c r="XEC350" s="539"/>
      <c r="XED350" s="539"/>
      <c r="XEE350" s="539"/>
      <c r="XEF350" s="539"/>
      <c r="XEG350" s="539"/>
    </row>
    <row r="351" ht="15.95" customHeight="1" spans="1:16361">
      <c r="A351" s="123" t="s">
        <v>342</v>
      </c>
      <c r="B351" s="406" t="s">
        <v>343</v>
      </c>
      <c r="C351" s="123"/>
      <c r="D351" s="596"/>
      <c r="E351" s="596"/>
      <c r="F351" s="597">
        <v>53900</v>
      </c>
      <c r="G351" s="298"/>
      <c r="H351" s="425"/>
      <c r="I351" s="426">
        <f>SUM(I352:I353)</f>
        <v>28800</v>
      </c>
      <c r="J351" s="437">
        <f t="shared" si="48"/>
        <v>0</v>
      </c>
      <c r="K351" s="605" t="s">
        <v>248</v>
      </c>
      <c r="L351" s="605" t="s">
        <v>340</v>
      </c>
      <c r="M351" s="605" t="s">
        <v>341</v>
      </c>
      <c r="N351" s="606">
        <v>19034.3805</v>
      </c>
      <c r="O351" s="606">
        <v>1.03</v>
      </c>
      <c r="P351" s="606">
        <v>19605.411915</v>
      </c>
      <c r="XDO351" s="539"/>
      <c r="XDP351" s="539"/>
      <c r="XDQ351" s="539"/>
      <c r="XDR351" s="539"/>
      <c r="XDS351" s="539"/>
      <c r="XDY351" s="539"/>
      <c r="XDZ351" s="539"/>
      <c r="XEA351" s="539"/>
      <c r="XEB351" s="539"/>
      <c r="XEC351" s="539"/>
      <c r="XED351" s="539"/>
      <c r="XEE351" s="539"/>
      <c r="XEF351" s="539"/>
      <c r="XEG351" s="539"/>
    </row>
    <row r="352" ht="15.95" customHeight="1" spans="1:16361">
      <c r="A352" s="123" t="s">
        <v>248</v>
      </c>
      <c r="B352" s="406" t="s">
        <v>344</v>
      </c>
      <c r="C352" s="123" t="s">
        <v>193</v>
      </c>
      <c r="D352" s="596">
        <v>22</v>
      </c>
      <c r="E352" s="596">
        <v>650</v>
      </c>
      <c r="F352" s="597">
        <v>14300</v>
      </c>
      <c r="G352" s="298">
        <v>18</v>
      </c>
      <c r="H352" s="425">
        <v>650</v>
      </c>
      <c r="I352" s="426">
        <f>G352*H352</f>
        <v>11700</v>
      </c>
      <c r="J352" s="437">
        <f t="shared" si="48"/>
        <v>11700</v>
      </c>
      <c r="K352" s="605" t="s">
        <v>342</v>
      </c>
      <c r="L352" s="605" t="s">
        <v>343</v>
      </c>
      <c r="M352" s="605"/>
      <c r="N352" s="605"/>
      <c r="O352" s="606"/>
      <c r="P352" s="606"/>
      <c r="XDO352" s="539"/>
      <c r="XDP352" s="539"/>
      <c r="XDQ352" s="539"/>
      <c r="XDR352" s="539"/>
      <c r="XDS352" s="539"/>
      <c r="XDY352" s="539"/>
      <c r="XDZ352" s="539"/>
      <c r="XEA352" s="539"/>
      <c r="XEB352" s="539"/>
      <c r="XEC352" s="539"/>
      <c r="XED352" s="539"/>
      <c r="XEE352" s="539"/>
      <c r="XEF352" s="539"/>
      <c r="XEG352" s="539"/>
    </row>
    <row r="353" ht="15.95" customHeight="1" spans="1:16361">
      <c r="A353" s="123" t="s">
        <v>248</v>
      </c>
      <c r="B353" s="406" t="s">
        <v>345</v>
      </c>
      <c r="C353" s="123" t="s">
        <v>305</v>
      </c>
      <c r="D353" s="596">
        <v>22</v>
      </c>
      <c r="E353" s="596">
        <v>1800</v>
      </c>
      <c r="F353" s="597">
        <v>39600</v>
      </c>
      <c r="G353" s="298">
        <f>G352</f>
        <v>18</v>
      </c>
      <c r="H353" s="425">
        <v>950</v>
      </c>
      <c r="I353" s="426">
        <f>G353*H353</f>
        <v>17100</v>
      </c>
      <c r="J353" s="437">
        <f t="shared" si="48"/>
        <v>17100</v>
      </c>
      <c r="K353" s="605" t="s">
        <v>248</v>
      </c>
      <c r="L353" s="605" t="s">
        <v>344</v>
      </c>
      <c r="M353" s="605" t="s">
        <v>193</v>
      </c>
      <c r="N353" s="605">
        <v>18</v>
      </c>
      <c r="O353" s="606">
        <v>1</v>
      </c>
      <c r="P353" s="606">
        <v>18</v>
      </c>
      <c r="XDO353" s="539"/>
      <c r="XDP353" s="539"/>
      <c r="XDQ353" s="539"/>
      <c r="XDR353" s="539"/>
      <c r="XDS353" s="539"/>
      <c r="XDY353" s="539"/>
      <c r="XDZ353" s="539"/>
      <c r="XEA353" s="539"/>
      <c r="XEB353" s="539"/>
      <c r="XEC353" s="539"/>
      <c r="XED353" s="539"/>
      <c r="XEE353" s="539"/>
      <c r="XEF353" s="539"/>
      <c r="XEG353" s="539"/>
    </row>
    <row r="354" ht="15.95" customHeight="1" spans="1:16361">
      <c r="A354" s="485" t="s">
        <v>346</v>
      </c>
      <c r="B354" s="406" t="s">
        <v>347</v>
      </c>
      <c r="C354" s="123" t="s">
        <v>193</v>
      </c>
      <c r="D354" s="596">
        <v>1</v>
      </c>
      <c r="E354" s="596"/>
      <c r="F354" s="597">
        <v>15050.875</v>
      </c>
      <c r="G354" s="298">
        <v>1</v>
      </c>
      <c r="H354" s="425"/>
      <c r="I354" s="426">
        <f>I355</f>
        <v>15050.875</v>
      </c>
      <c r="J354" s="437">
        <f t="shared" si="48"/>
        <v>0</v>
      </c>
      <c r="K354" s="605" t="s">
        <v>248</v>
      </c>
      <c r="L354" s="605" t="s">
        <v>345</v>
      </c>
      <c r="M354" s="605" t="s">
        <v>305</v>
      </c>
      <c r="N354" s="605">
        <v>18</v>
      </c>
      <c r="O354" s="606">
        <v>1</v>
      </c>
      <c r="P354" s="606">
        <v>18</v>
      </c>
      <c r="XDO354" s="539"/>
      <c r="XDP354" s="539"/>
      <c r="XDQ354" s="539"/>
      <c r="XDR354" s="539"/>
      <c r="XDS354" s="539"/>
      <c r="XDY354" s="539"/>
      <c r="XDZ354" s="539"/>
      <c r="XEA354" s="539"/>
      <c r="XEB354" s="539"/>
      <c r="XEC354" s="539"/>
      <c r="XED354" s="539"/>
      <c r="XEE354" s="539"/>
      <c r="XEF354" s="539"/>
      <c r="XEG354" s="539"/>
    </row>
    <row r="355" ht="15.95" customHeight="1" spans="1:16361">
      <c r="A355" s="123" t="s">
        <v>248</v>
      </c>
      <c r="B355" s="406" t="s">
        <v>348</v>
      </c>
      <c r="C355" s="123" t="s">
        <v>167</v>
      </c>
      <c r="D355" s="596">
        <v>51.5</v>
      </c>
      <c r="E355" s="596">
        <v>292.25</v>
      </c>
      <c r="F355" s="597">
        <v>15050.875</v>
      </c>
      <c r="G355" s="298">
        <v>51.5</v>
      </c>
      <c r="H355" s="425">
        <f>管材!G44+200</f>
        <v>292.25</v>
      </c>
      <c r="I355" s="426">
        <f>G355*H355</f>
        <v>15050.875</v>
      </c>
      <c r="J355" s="437">
        <f t="shared" si="48"/>
        <v>15050.875</v>
      </c>
      <c r="K355" s="608" t="s">
        <v>346</v>
      </c>
      <c r="L355" s="605" t="s">
        <v>347</v>
      </c>
      <c r="M355" s="605" t="s">
        <v>193</v>
      </c>
      <c r="N355" s="605">
        <v>1</v>
      </c>
      <c r="O355" s="606"/>
      <c r="P355" s="606"/>
      <c r="XDO355" s="539"/>
      <c r="XDP355" s="539"/>
      <c r="XDQ355" s="539"/>
      <c r="XDR355" s="539"/>
      <c r="XDS355" s="539"/>
      <c r="XDY355" s="539"/>
      <c r="XDZ355" s="539"/>
      <c r="XEA355" s="539"/>
      <c r="XEB355" s="539"/>
      <c r="XEC355" s="539"/>
      <c r="XED355" s="539"/>
      <c r="XEE355" s="539"/>
      <c r="XEF355" s="539"/>
      <c r="XEG355" s="539"/>
    </row>
    <row r="356" ht="15.95" customHeight="1" spans="1:16361">
      <c r="A356" s="123" t="s">
        <v>349</v>
      </c>
      <c r="B356" s="406" t="s">
        <v>350</v>
      </c>
      <c r="C356" s="123" t="s">
        <v>248</v>
      </c>
      <c r="D356" s="596"/>
      <c r="E356" s="596"/>
      <c r="F356" s="597">
        <v>504573.974276801</v>
      </c>
      <c r="G356" s="298"/>
      <c r="H356" s="425"/>
      <c r="I356" s="426">
        <f>I357+I364+I365+I368</f>
        <v>472877.376</v>
      </c>
      <c r="J356" s="437">
        <f t="shared" si="48"/>
        <v>0</v>
      </c>
      <c r="K356" s="605" t="s">
        <v>248</v>
      </c>
      <c r="L356" s="605" t="s">
        <v>348</v>
      </c>
      <c r="M356" s="605" t="s">
        <v>167</v>
      </c>
      <c r="N356" s="605">
        <v>50</v>
      </c>
      <c r="O356" s="606">
        <v>1.03</v>
      </c>
      <c r="P356" s="606">
        <v>51.5</v>
      </c>
      <c r="XDO356" s="539"/>
      <c r="XDP356" s="539"/>
      <c r="XDQ356" s="539"/>
      <c r="XDR356" s="539"/>
      <c r="XDS356" s="539"/>
      <c r="XDY356" s="539"/>
      <c r="XDZ356" s="539"/>
      <c r="XEA356" s="539"/>
      <c r="XEB356" s="539"/>
      <c r="XEC356" s="539"/>
      <c r="XED356" s="539"/>
      <c r="XEE356" s="539"/>
      <c r="XEF356" s="539"/>
      <c r="XEG356" s="539"/>
    </row>
    <row r="357" ht="15.95" customHeight="1" spans="1:16361">
      <c r="A357" s="123" t="s">
        <v>329</v>
      </c>
      <c r="B357" s="406" t="s">
        <v>330</v>
      </c>
      <c r="C357" s="123"/>
      <c r="D357" s="596"/>
      <c r="E357" s="596"/>
      <c r="F357" s="597">
        <v>341599.13</v>
      </c>
      <c r="G357" s="298"/>
      <c r="H357" s="425"/>
      <c r="I357" s="426">
        <f>SUM(I358:I363)</f>
        <v>315332.61</v>
      </c>
      <c r="J357" s="437">
        <f t="shared" si="48"/>
        <v>0</v>
      </c>
      <c r="K357" s="605">
        <v>2</v>
      </c>
      <c r="L357" s="605" t="s">
        <v>350</v>
      </c>
      <c r="M357" s="605" t="s">
        <v>248</v>
      </c>
      <c r="N357" s="605"/>
      <c r="O357" s="606"/>
      <c r="P357" s="606"/>
      <c r="XDO357" s="539"/>
      <c r="XDP357" s="539"/>
      <c r="XDQ357" s="539"/>
      <c r="XDR357" s="539"/>
      <c r="XDS357" s="539"/>
      <c r="XDY357" s="539"/>
      <c r="XDZ357" s="539"/>
      <c r="XEA357" s="539"/>
      <c r="XEB357" s="539"/>
      <c r="XEC357" s="539"/>
      <c r="XED357" s="539"/>
      <c r="XEE357" s="539"/>
      <c r="XEF357" s="539"/>
      <c r="XEG357" s="539"/>
    </row>
    <row r="358" ht="15.95" customHeight="1" spans="1:16361">
      <c r="A358" s="123"/>
      <c r="B358" s="406" t="s">
        <v>351</v>
      </c>
      <c r="C358" s="123" t="s">
        <v>167</v>
      </c>
      <c r="D358" s="596">
        <v>9163</v>
      </c>
      <c r="E358" s="596">
        <v>21.31</v>
      </c>
      <c r="F358" s="597">
        <v>195263.53</v>
      </c>
      <c r="G358" s="298">
        <v>6922</v>
      </c>
      <c r="H358" s="425">
        <f>管材!L14</f>
        <v>21.31</v>
      </c>
      <c r="I358" s="426">
        <f t="shared" ref="I358:I364" si="53">G358*H358</f>
        <v>147507.82</v>
      </c>
      <c r="J358" s="437">
        <f t="shared" si="48"/>
        <v>147507.82</v>
      </c>
      <c r="K358" s="605" t="s">
        <v>329</v>
      </c>
      <c r="L358" s="605" t="s">
        <v>330</v>
      </c>
      <c r="M358" s="605" t="s">
        <v>248</v>
      </c>
      <c r="N358" s="605"/>
      <c r="O358" s="606"/>
      <c r="P358" s="606"/>
      <c r="XDO358" s="539"/>
      <c r="XDP358" s="539"/>
      <c r="XDQ358" s="539"/>
      <c r="XDR358" s="539"/>
      <c r="XDS358" s="539"/>
      <c r="XDY358" s="539"/>
      <c r="XDZ358" s="539"/>
      <c r="XEA358" s="539"/>
      <c r="XEB358" s="539"/>
      <c r="XEC358" s="539"/>
      <c r="XED358" s="539"/>
      <c r="XEE358" s="539"/>
      <c r="XEF358" s="539"/>
      <c r="XEG358" s="539"/>
    </row>
    <row r="359" ht="15.95" customHeight="1" spans="1:16361">
      <c r="A359" s="123"/>
      <c r="B359" s="406" t="s">
        <v>352</v>
      </c>
      <c r="C359" s="123" t="s">
        <v>167</v>
      </c>
      <c r="D359" s="596">
        <v>6230</v>
      </c>
      <c r="E359" s="596">
        <v>13.61</v>
      </c>
      <c r="F359" s="597">
        <v>84790.3</v>
      </c>
      <c r="G359" s="298">
        <v>6922</v>
      </c>
      <c r="H359" s="425">
        <f>管材!L12</f>
        <v>13.61</v>
      </c>
      <c r="I359" s="426">
        <f t="shared" si="53"/>
        <v>94208.42</v>
      </c>
      <c r="J359" s="437">
        <f t="shared" si="48"/>
        <v>94208.42</v>
      </c>
      <c r="K359" s="605"/>
      <c r="L359" s="605" t="s">
        <v>351</v>
      </c>
      <c r="M359" s="605" t="s">
        <v>167</v>
      </c>
      <c r="N359" s="606">
        <v>6720</v>
      </c>
      <c r="O359" s="606">
        <v>1.03</v>
      </c>
      <c r="P359" s="606">
        <v>6921.6</v>
      </c>
      <c r="XDO359" s="539"/>
      <c r="XDP359" s="539"/>
      <c r="XDQ359" s="539"/>
      <c r="XDR359" s="539"/>
      <c r="XDS359" s="539"/>
      <c r="XDY359" s="539"/>
      <c r="XDZ359" s="539"/>
      <c r="XEA359" s="539"/>
      <c r="XEB359" s="539"/>
      <c r="XEC359" s="539"/>
      <c r="XED359" s="539"/>
      <c r="XEE359" s="539"/>
      <c r="XEF359" s="539"/>
      <c r="XEG359" s="539"/>
    </row>
    <row r="360" ht="15.95" customHeight="1" spans="1:16361">
      <c r="A360" s="123"/>
      <c r="B360" s="406" t="s">
        <v>353</v>
      </c>
      <c r="C360" s="123" t="s">
        <v>167</v>
      </c>
      <c r="D360" s="596"/>
      <c r="E360" s="596"/>
      <c r="F360" s="597"/>
      <c r="G360" s="298">
        <v>2307</v>
      </c>
      <c r="H360" s="425">
        <f>管材!L10</f>
        <v>6.89</v>
      </c>
      <c r="I360" s="426">
        <f t="shared" si="53"/>
        <v>15895.23</v>
      </c>
      <c r="J360" s="437">
        <f t="shared" si="48"/>
        <v>15895.23</v>
      </c>
      <c r="K360" s="605"/>
      <c r="L360" s="605"/>
      <c r="M360" s="605"/>
      <c r="N360" s="606"/>
      <c r="O360" s="606"/>
      <c r="P360" s="606"/>
      <c r="XDO360" s="539"/>
      <c r="XDP360" s="539"/>
      <c r="XDQ360" s="539"/>
      <c r="XDR360" s="539"/>
      <c r="XDS360" s="539"/>
      <c r="XDY360" s="539"/>
      <c r="XDZ360" s="539"/>
      <c r="XEA360" s="539"/>
      <c r="XEB360" s="539"/>
      <c r="XEC360" s="539"/>
      <c r="XED360" s="539"/>
      <c r="XEE360" s="539"/>
      <c r="XEF360" s="539"/>
      <c r="XEG360" s="539"/>
    </row>
    <row r="361" ht="15.95" customHeight="1" spans="1:16361">
      <c r="A361" s="123"/>
      <c r="B361" s="406" t="s">
        <v>354</v>
      </c>
      <c r="C361" s="123" t="s">
        <v>167</v>
      </c>
      <c r="D361" s="596">
        <v>60</v>
      </c>
      <c r="E361" s="596">
        <v>21.31</v>
      </c>
      <c r="F361" s="597">
        <v>1278.6</v>
      </c>
      <c r="G361" s="298">
        <v>29</v>
      </c>
      <c r="H361" s="425">
        <f>H358</f>
        <v>21.31</v>
      </c>
      <c r="I361" s="426">
        <f t="shared" si="53"/>
        <v>617.99</v>
      </c>
      <c r="J361" s="437">
        <f t="shared" ref="J361:J417" si="54">G361*H361</f>
        <v>617.99</v>
      </c>
      <c r="K361" s="605"/>
      <c r="L361" s="605" t="s">
        <v>352</v>
      </c>
      <c r="M361" s="605" t="s">
        <v>167</v>
      </c>
      <c r="N361" s="606">
        <v>6720</v>
      </c>
      <c r="O361" s="606">
        <v>1.03</v>
      </c>
      <c r="P361" s="606">
        <v>6921.6</v>
      </c>
      <c r="XDO361" s="539"/>
      <c r="XDP361" s="539"/>
      <c r="XDQ361" s="539"/>
      <c r="XDR361" s="539"/>
      <c r="XDS361" s="539"/>
      <c r="XDY361" s="539"/>
      <c r="XDZ361" s="539"/>
      <c r="XEA361" s="539"/>
      <c r="XEB361" s="539"/>
      <c r="XEC361" s="539"/>
      <c r="XED361" s="539"/>
      <c r="XEE361" s="539"/>
      <c r="XEF361" s="539"/>
      <c r="XEG361" s="539"/>
    </row>
    <row r="362" ht="15.95" customHeight="1" spans="1:16361">
      <c r="A362" s="598"/>
      <c r="B362" s="599" t="s">
        <v>355</v>
      </c>
      <c r="C362" s="598" t="s">
        <v>167</v>
      </c>
      <c r="D362" s="600"/>
      <c r="E362" s="600"/>
      <c r="F362" s="601"/>
      <c r="G362" s="602">
        <f>G359+G360</f>
        <v>9229</v>
      </c>
      <c r="H362" s="603">
        <v>3.25</v>
      </c>
      <c r="I362" s="609">
        <f t="shared" si="53"/>
        <v>29994.25</v>
      </c>
      <c r="J362" s="437">
        <f t="shared" si="54"/>
        <v>29994.25</v>
      </c>
      <c r="K362" s="605"/>
      <c r="L362" s="605" t="s">
        <v>353</v>
      </c>
      <c r="M362" s="605" t="s">
        <v>167</v>
      </c>
      <c r="N362" s="606">
        <v>2240</v>
      </c>
      <c r="O362" s="606">
        <v>1.03</v>
      </c>
      <c r="P362" s="606">
        <v>2307.2</v>
      </c>
      <c r="XDO362" s="539"/>
      <c r="XDP362" s="539"/>
      <c r="XDQ362" s="539"/>
      <c r="XDR362" s="539"/>
      <c r="XDS362" s="539"/>
      <c r="XDY362" s="539"/>
      <c r="XDZ362" s="539"/>
      <c r="XEA362" s="539"/>
      <c r="XEB362" s="539"/>
      <c r="XEC362" s="539"/>
      <c r="XED362" s="539"/>
      <c r="XEE362" s="539"/>
      <c r="XEF362" s="539"/>
      <c r="XEG362" s="539"/>
    </row>
    <row r="363" ht="15.95" customHeight="1" spans="1:16361">
      <c r="A363" s="598"/>
      <c r="B363" s="599" t="s">
        <v>356</v>
      </c>
      <c r="C363" s="598" t="s">
        <v>167</v>
      </c>
      <c r="D363" s="600">
        <v>15453</v>
      </c>
      <c r="E363" s="600">
        <v>3.9</v>
      </c>
      <c r="F363" s="601">
        <v>60266.7</v>
      </c>
      <c r="G363" s="602">
        <f>G358+G361</f>
        <v>6951</v>
      </c>
      <c r="H363" s="603">
        <v>3.9</v>
      </c>
      <c r="I363" s="609">
        <f t="shared" si="53"/>
        <v>27108.9</v>
      </c>
      <c r="J363" s="437">
        <f t="shared" si="54"/>
        <v>27108.9</v>
      </c>
      <c r="K363" s="605"/>
      <c r="L363" s="605" t="s">
        <v>354</v>
      </c>
      <c r="M363" s="605" t="s">
        <v>167</v>
      </c>
      <c r="N363" s="606">
        <v>28</v>
      </c>
      <c r="O363" s="606">
        <v>1.03</v>
      </c>
      <c r="P363" s="606">
        <v>28.84</v>
      </c>
      <c r="XDO363" s="539"/>
      <c r="XDP363" s="539"/>
      <c r="XDQ363" s="539"/>
      <c r="XDR363" s="539"/>
      <c r="XDS363" s="539"/>
      <c r="XDY363" s="539"/>
      <c r="XDZ363" s="539"/>
      <c r="XEA363" s="539"/>
      <c r="XEB363" s="539"/>
      <c r="XEC363" s="539"/>
      <c r="XED363" s="539"/>
      <c r="XEE363" s="539"/>
      <c r="XEF363" s="539"/>
      <c r="XEG363" s="539"/>
    </row>
    <row r="364" ht="15.95" customHeight="1" spans="1:16361">
      <c r="A364" s="486">
        <v>-2</v>
      </c>
      <c r="B364" s="406" t="s">
        <v>357</v>
      </c>
      <c r="C364" s="484" t="s">
        <v>336</v>
      </c>
      <c r="D364" s="596">
        <v>0.1</v>
      </c>
      <c r="E364" s="596">
        <v>281332.43</v>
      </c>
      <c r="F364" s="597">
        <v>28133.243</v>
      </c>
      <c r="G364" s="484">
        <v>0.1</v>
      </c>
      <c r="H364" s="425">
        <f>I358+I359+I360+I361</f>
        <v>258229.46</v>
      </c>
      <c r="I364" s="426">
        <f t="shared" si="53"/>
        <v>25822.946</v>
      </c>
      <c r="J364" s="437">
        <f t="shared" si="54"/>
        <v>25822.946</v>
      </c>
      <c r="K364" s="605"/>
      <c r="L364" s="605" t="s">
        <v>358</v>
      </c>
      <c r="M364" s="605" t="s">
        <v>167</v>
      </c>
      <c r="N364" s="606">
        <v>15708</v>
      </c>
      <c r="O364" s="606">
        <v>1.03</v>
      </c>
      <c r="P364" s="606">
        <v>16179.24</v>
      </c>
      <c r="XDO364" s="539"/>
      <c r="XDP364" s="539"/>
      <c r="XDQ364" s="539"/>
      <c r="XDR364" s="539"/>
      <c r="XDS364" s="539"/>
      <c r="XDY364" s="539"/>
      <c r="XDZ364" s="539"/>
      <c r="XEA364" s="539"/>
      <c r="XEB364" s="539"/>
      <c r="XEC364" s="539"/>
      <c r="XED364" s="539"/>
      <c r="XEE364" s="539"/>
      <c r="XEF364" s="539"/>
      <c r="XEG364" s="539"/>
    </row>
    <row r="365" ht="15.95" customHeight="1" spans="1:16361">
      <c r="A365" s="123" t="s">
        <v>337</v>
      </c>
      <c r="B365" s="406" t="s">
        <v>338</v>
      </c>
      <c r="C365" s="123" t="s">
        <v>248</v>
      </c>
      <c r="D365" s="596"/>
      <c r="E365" s="596"/>
      <c r="F365" s="597">
        <v>73081.6012768005</v>
      </c>
      <c r="G365" s="298"/>
      <c r="H365" s="425"/>
      <c r="I365" s="426">
        <f>SUM(I366:I367)</f>
        <v>76561.82</v>
      </c>
      <c r="J365" s="437">
        <f t="shared" si="54"/>
        <v>0</v>
      </c>
      <c r="K365" s="605" t="s">
        <v>334</v>
      </c>
      <c r="L365" s="605" t="s">
        <v>335</v>
      </c>
      <c r="M365" s="607">
        <v>0.1</v>
      </c>
      <c r="N365" s="605"/>
      <c r="O365" s="606"/>
      <c r="P365" s="606"/>
      <c r="XDO365" s="539"/>
      <c r="XDP365" s="539"/>
      <c r="XDQ365" s="539"/>
      <c r="XDR365" s="539"/>
      <c r="XDS365" s="539"/>
      <c r="XDY365" s="539"/>
      <c r="XDZ365" s="539"/>
      <c r="XEA365" s="539"/>
      <c r="XEB365" s="539"/>
      <c r="XEC365" s="539"/>
      <c r="XED365" s="539"/>
      <c r="XEE365" s="539"/>
      <c r="XEF365" s="539"/>
      <c r="XEG365" s="539"/>
    </row>
    <row r="366" ht="15.95" customHeight="1" spans="1:16361">
      <c r="A366" s="123" t="s">
        <v>248</v>
      </c>
      <c r="B366" s="406" t="s">
        <v>339</v>
      </c>
      <c r="C366" s="123" t="s">
        <v>169</v>
      </c>
      <c r="D366" s="596">
        <v>10912.5879165</v>
      </c>
      <c r="E366" s="596">
        <v>3.98</v>
      </c>
      <c r="F366" s="597">
        <v>43432.09990767</v>
      </c>
      <c r="G366" s="298">
        <v>11432</v>
      </c>
      <c r="H366" s="425">
        <v>3.98</v>
      </c>
      <c r="I366" s="426">
        <f>G366*H366</f>
        <v>45499.36</v>
      </c>
      <c r="J366" s="437">
        <f t="shared" si="54"/>
        <v>45499.36</v>
      </c>
      <c r="K366" s="605" t="s">
        <v>337</v>
      </c>
      <c r="L366" s="605" t="s">
        <v>338</v>
      </c>
      <c r="M366" s="605" t="s">
        <v>248</v>
      </c>
      <c r="N366" s="605"/>
      <c r="O366" s="606"/>
      <c r="P366" s="606"/>
      <c r="XDO366" s="539"/>
      <c r="XDP366" s="539"/>
      <c r="XDQ366" s="539"/>
      <c r="XDR366" s="539"/>
      <c r="XDS366" s="539"/>
      <c r="XDY366" s="539"/>
      <c r="XDZ366" s="539"/>
      <c r="XEA366" s="539"/>
      <c r="XEB366" s="539"/>
      <c r="XEC366" s="539"/>
      <c r="XED366" s="539"/>
      <c r="XEE366" s="539"/>
      <c r="XEF366" s="539"/>
      <c r="XEG366" s="539"/>
    </row>
    <row r="367" ht="15.95" customHeight="1" spans="1:16361">
      <c r="A367" s="123" t="s">
        <v>248</v>
      </c>
      <c r="B367" s="406" t="s">
        <v>340</v>
      </c>
      <c r="C367" s="123" t="s">
        <v>169</v>
      </c>
      <c r="D367" s="596">
        <v>10366.958520675</v>
      </c>
      <c r="E367" s="596">
        <v>2.86</v>
      </c>
      <c r="F367" s="597">
        <v>29649.5013691305</v>
      </c>
      <c r="G367" s="298">
        <v>10861</v>
      </c>
      <c r="H367" s="425">
        <v>2.86</v>
      </c>
      <c r="I367" s="426">
        <f>G367*H367</f>
        <v>31062.46</v>
      </c>
      <c r="J367" s="437">
        <f t="shared" si="54"/>
        <v>31062.46</v>
      </c>
      <c r="K367" s="605" t="s">
        <v>248</v>
      </c>
      <c r="L367" s="605" t="s">
        <v>339</v>
      </c>
      <c r="M367" s="605" t="s">
        <v>341</v>
      </c>
      <c r="N367" s="606">
        <v>11099.2</v>
      </c>
      <c r="O367" s="606">
        <v>1.03</v>
      </c>
      <c r="P367" s="606">
        <v>11432.176</v>
      </c>
      <c r="XDO367" s="539"/>
      <c r="XDP367" s="539"/>
      <c r="XDQ367" s="539"/>
      <c r="XDR367" s="539"/>
      <c r="XDS367" s="539"/>
      <c r="XDY367" s="539"/>
      <c r="XDZ367" s="539"/>
      <c r="XEA367" s="539"/>
      <c r="XEB367" s="539"/>
      <c r="XEC367" s="539"/>
      <c r="XED367" s="539"/>
      <c r="XEE367" s="539"/>
      <c r="XEF367" s="539"/>
      <c r="XEG367" s="539"/>
    </row>
    <row r="368" ht="15.95" customHeight="1" spans="1:16361">
      <c r="A368" s="123" t="s">
        <v>342</v>
      </c>
      <c r="B368" s="406" t="s">
        <v>359</v>
      </c>
      <c r="C368" s="123"/>
      <c r="D368" s="596"/>
      <c r="E368" s="596"/>
      <c r="F368" s="597">
        <v>61760</v>
      </c>
      <c r="G368" s="484"/>
      <c r="H368" s="425"/>
      <c r="I368" s="426">
        <f>SUM(I369:I371)</f>
        <v>55160</v>
      </c>
      <c r="J368" s="437">
        <f t="shared" si="54"/>
        <v>0</v>
      </c>
      <c r="K368" s="605" t="s">
        <v>248</v>
      </c>
      <c r="L368" s="605" t="s">
        <v>340</v>
      </c>
      <c r="M368" s="605" t="s">
        <v>341</v>
      </c>
      <c r="N368" s="606">
        <v>10544.24</v>
      </c>
      <c r="O368" s="606">
        <v>1.03</v>
      </c>
      <c r="P368" s="606">
        <v>10860.5672</v>
      </c>
      <c r="XDO368" s="539"/>
      <c r="XDP368" s="539"/>
      <c r="XDQ368" s="539"/>
      <c r="XDR368" s="539"/>
      <c r="XDS368" s="539"/>
      <c r="XDY368" s="539"/>
      <c r="XDZ368" s="539"/>
      <c r="XEA368" s="539"/>
      <c r="XEB368" s="539"/>
      <c r="XEC368" s="539"/>
      <c r="XED368" s="539"/>
      <c r="XEE368" s="539"/>
      <c r="XEF368" s="539"/>
      <c r="XEG368" s="539"/>
    </row>
    <row r="369" ht="15.95" customHeight="1" spans="1:16361">
      <c r="A369" s="123"/>
      <c r="B369" s="406" t="s">
        <v>360</v>
      </c>
      <c r="C369" s="123" t="s">
        <v>193</v>
      </c>
      <c r="D369" s="596">
        <v>29</v>
      </c>
      <c r="E369" s="596">
        <v>220</v>
      </c>
      <c r="F369" s="597">
        <v>6380</v>
      </c>
      <c r="G369" s="298">
        <v>14</v>
      </c>
      <c r="H369" s="425">
        <v>220</v>
      </c>
      <c r="I369" s="426">
        <f>G369*H369</f>
        <v>3080</v>
      </c>
      <c r="J369" s="437">
        <f t="shared" si="54"/>
        <v>3080</v>
      </c>
      <c r="K369" s="605" t="s">
        <v>342</v>
      </c>
      <c r="L369" s="605" t="s">
        <v>359</v>
      </c>
      <c r="M369" s="605"/>
      <c r="N369" s="606"/>
      <c r="O369" s="606"/>
      <c r="P369" s="606"/>
      <c r="XDO369" s="539"/>
      <c r="XDP369" s="539"/>
      <c r="XDQ369" s="539"/>
      <c r="XDR369" s="539"/>
      <c r="XDS369" s="539"/>
      <c r="XDY369" s="539"/>
      <c r="XDZ369" s="539"/>
      <c r="XEA369" s="539"/>
      <c r="XEB369" s="539"/>
      <c r="XEC369" s="539"/>
      <c r="XED369" s="539"/>
      <c r="XEE369" s="539"/>
      <c r="XEF369" s="539"/>
      <c r="XEG369" s="539"/>
    </row>
    <row r="370" ht="15.95" customHeight="1" spans="1:16361">
      <c r="A370" s="123" t="s">
        <v>248</v>
      </c>
      <c r="B370" s="406" t="s">
        <v>361</v>
      </c>
      <c r="C370" s="123" t="s">
        <v>193</v>
      </c>
      <c r="D370" s="596">
        <v>29</v>
      </c>
      <c r="E370" s="596">
        <v>220</v>
      </c>
      <c r="F370" s="597">
        <v>6380</v>
      </c>
      <c r="G370" s="298">
        <v>14</v>
      </c>
      <c r="H370" s="425">
        <f>H369</f>
        <v>220</v>
      </c>
      <c r="I370" s="426">
        <f>G370*H370</f>
        <v>3080</v>
      </c>
      <c r="J370" s="437">
        <f t="shared" si="54"/>
        <v>3080</v>
      </c>
      <c r="K370" s="605"/>
      <c r="L370" s="605" t="s">
        <v>360</v>
      </c>
      <c r="M370" s="605" t="s">
        <v>193</v>
      </c>
      <c r="N370" s="606">
        <v>14</v>
      </c>
      <c r="O370" s="606">
        <v>1</v>
      </c>
      <c r="P370" s="606">
        <v>14</v>
      </c>
      <c r="XDO370" s="539"/>
      <c r="XDP370" s="539"/>
      <c r="XDQ370" s="539"/>
      <c r="XDR370" s="539"/>
      <c r="XDS370" s="539"/>
      <c r="XDY370" s="539"/>
      <c r="XDZ370" s="539"/>
      <c r="XEA370" s="539"/>
      <c r="XEB370" s="539"/>
      <c r="XEC370" s="539"/>
      <c r="XED370" s="539"/>
      <c r="XEE370" s="539"/>
      <c r="XEF370" s="539"/>
      <c r="XEG370" s="539"/>
    </row>
    <row r="371" ht="15.95" customHeight="1" spans="1:16361">
      <c r="A371" s="123" t="s">
        <v>248</v>
      </c>
      <c r="B371" s="406" t="s">
        <v>362</v>
      </c>
      <c r="C371" s="123" t="s">
        <v>363</v>
      </c>
      <c r="D371" s="596">
        <v>14</v>
      </c>
      <c r="E371" s="596">
        <v>3500</v>
      </c>
      <c r="F371" s="597">
        <v>49000</v>
      </c>
      <c r="G371" s="298">
        <v>14</v>
      </c>
      <c r="H371" s="425">
        <v>3500</v>
      </c>
      <c r="I371" s="426">
        <f>G371*H371</f>
        <v>49000</v>
      </c>
      <c r="J371" s="437">
        <f t="shared" si="54"/>
        <v>49000</v>
      </c>
      <c r="K371" s="605" t="s">
        <v>248</v>
      </c>
      <c r="L371" s="605" t="s">
        <v>361</v>
      </c>
      <c r="M371" s="605" t="s">
        <v>193</v>
      </c>
      <c r="N371" s="606">
        <v>14</v>
      </c>
      <c r="O371" s="606">
        <v>1</v>
      </c>
      <c r="P371" s="606">
        <v>14</v>
      </c>
      <c r="XDO371" s="539"/>
      <c r="XDP371" s="539"/>
      <c r="XDQ371" s="539"/>
      <c r="XDR371" s="539"/>
      <c r="XDS371" s="539"/>
      <c r="XDY371" s="539"/>
      <c r="XDZ371" s="539"/>
      <c r="XEA371" s="539"/>
      <c r="XEB371" s="539"/>
      <c r="XEC371" s="539"/>
      <c r="XED371" s="539"/>
      <c r="XEE371" s="539"/>
      <c r="XEF371" s="539"/>
      <c r="XEG371" s="539"/>
    </row>
    <row r="372" ht="15.95" customHeight="1" spans="1:16361">
      <c r="A372" s="485" t="s">
        <v>364</v>
      </c>
      <c r="B372" s="406" t="s">
        <v>365</v>
      </c>
      <c r="C372" s="123"/>
      <c r="D372" s="596"/>
      <c r="E372" s="596"/>
      <c r="F372" s="597">
        <v>24819.2900112247</v>
      </c>
      <c r="G372" s="298"/>
      <c r="H372" s="425"/>
      <c r="I372" s="426">
        <f>I373+I376+I377+I380</f>
        <v>18613.7184675495</v>
      </c>
      <c r="J372" s="437">
        <f t="shared" si="54"/>
        <v>0</v>
      </c>
      <c r="K372" s="605" t="s">
        <v>248</v>
      </c>
      <c r="L372" s="605" t="s">
        <v>362</v>
      </c>
      <c r="M372" s="605" t="s">
        <v>363</v>
      </c>
      <c r="N372" s="606">
        <v>14</v>
      </c>
      <c r="O372" s="606">
        <v>1</v>
      </c>
      <c r="P372" s="606">
        <v>14</v>
      </c>
      <c r="XDO372" s="539"/>
      <c r="XDP372" s="539"/>
      <c r="XDQ372" s="539"/>
      <c r="XDR372" s="539"/>
      <c r="XDS372" s="539"/>
      <c r="XDY372" s="539"/>
      <c r="XDZ372" s="539"/>
      <c r="XEA372" s="539"/>
      <c r="XEB372" s="539"/>
      <c r="XEC372" s="539"/>
      <c r="XED372" s="539"/>
      <c r="XEE372" s="539"/>
      <c r="XEF372" s="539"/>
      <c r="XEG372" s="539"/>
    </row>
    <row r="373" ht="15.95" customHeight="1" spans="1:16361">
      <c r="A373" s="123" t="s">
        <v>329</v>
      </c>
      <c r="B373" s="406" t="s">
        <v>330</v>
      </c>
      <c r="C373" s="123"/>
      <c r="D373" s="596"/>
      <c r="E373" s="596"/>
      <c r="F373" s="597">
        <v>835.536</v>
      </c>
      <c r="G373" s="298"/>
      <c r="H373" s="425"/>
      <c r="I373" s="426">
        <f>SUM(I374:I375)</f>
        <v>628.68</v>
      </c>
      <c r="J373" s="437">
        <f t="shared" si="54"/>
        <v>0</v>
      </c>
      <c r="K373" s="608" t="s">
        <v>366</v>
      </c>
      <c r="L373" s="605" t="s">
        <v>365</v>
      </c>
      <c r="M373" s="605"/>
      <c r="N373" s="606"/>
      <c r="O373" s="606"/>
      <c r="P373" s="606"/>
      <c r="XDO373" s="539"/>
      <c r="XDP373" s="539"/>
      <c r="XDQ373" s="539"/>
      <c r="XDR373" s="539"/>
      <c r="XDS373" s="539"/>
      <c r="XDY373" s="539"/>
      <c r="XDZ373" s="539"/>
      <c r="XEA373" s="539"/>
      <c r="XEB373" s="539"/>
      <c r="XEC373" s="539"/>
      <c r="XED373" s="539"/>
      <c r="XEE373" s="539"/>
      <c r="XEF373" s="539"/>
      <c r="XEG373" s="539"/>
    </row>
    <row r="374" ht="15.95" customHeight="1" spans="1:16361">
      <c r="A374" s="485"/>
      <c r="B374" s="487" t="s">
        <v>367</v>
      </c>
      <c r="C374" s="480" t="s">
        <v>167</v>
      </c>
      <c r="D374" s="589">
        <v>82.4</v>
      </c>
      <c r="E374" s="589">
        <v>6.89</v>
      </c>
      <c r="F374" s="590">
        <v>567.736</v>
      </c>
      <c r="G374" s="298">
        <v>62</v>
      </c>
      <c r="H374" s="425">
        <f>管材!L10</f>
        <v>6.89</v>
      </c>
      <c r="I374" s="426">
        <f>G374*H374</f>
        <v>427.18</v>
      </c>
      <c r="J374" s="437">
        <f t="shared" si="54"/>
        <v>427.18</v>
      </c>
      <c r="K374" s="605" t="s">
        <v>329</v>
      </c>
      <c r="L374" s="605" t="s">
        <v>330</v>
      </c>
      <c r="M374" s="605" t="s">
        <v>248</v>
      </c>
      <c r="N374" s="605"/>
      <c r="O374" s="606"/>
      <c r="P374" s="606"/>
      <c r="XDO374" s="539"/>
      <c r="XDP374" s="539"/>
      <c r="XDQ374" s="539"/>
      <c r="XDR374" s="539"/>
      <c r="XDS374" s="539"/>
      <c r="XDY374" s="539"/>
      <c r="XDZ374" s="539"/>
      <c r="XEA374" s="539"/>
      <c r="XEB374" s="539"/>
      <c r="XEC374" s="539"/>
      <c r="XED374" s="539"/>
      <c r="XEE374" s="539"/>
      <c r="XEF374" s="539"/>
      <c r="XEG374" s="539"/>
    </row>
    <row r="375" ht="15.95" customHeight="1" spans="1:16361">
      <c r="A375" s="485"/>
      <c r="B375" s="487" t="s">
        <v>368</v>
      </c>
      <c r="C375" s="480" t="s">
        <v>167</v>
      </c>
      <c r="D375" s="589">
        <v>82.4</v>
      </c>
      <c r="E375" s="589">
        <v>3.25</v>
      </c>
      <c r="F375" s="590">
        <v>267.8</v>
      </c>
      <c r="G375" s="298">
        <f>G374</f>
        <v>62</v>
      </c>
      <c r="H375" s="425">
        <v>3.25</v>
      </c>
      <c r="I375" s="426">
        <f>G375*H375</f>
        <v>201.5</v>
      </c>
      <c r="J375" s="437">
        <f t="shared" si="54"/>
        <v>201.5</v>
      </c>
      <c r="K375" s="608"/>
      <c r="L375" s="605" t="s">
        <v>367</v>
      </c>
      <c r="M375" s="606" t="s">
        <v>167</v>
      </c>
      <c r="N375" s="606">
        <v>60</v>
      </c>
      <c r="O375" s="606">
        <v>1.03</v>
      </c>
      <c r="P375" s="606">
        <v>61.8</v>
      </c>
      <c r="XDO375" s="539"/>
      <c r="XDP375" s="539"/>
      <c r="XDQ375" s="539"/>
      <c r="XDR375" s="539"/>
      <c r="XDS375" s="539"/>
      <c r="XDY375" s="539"/>
      <c r="XDZ375" s="539"/>
      <c r="XEA375" s="539"/>
      <c r="XEB375" s="539"/>
      <c r="XEC375" s="539"/>
      <c r="XED375" s="539"/>
      <c r="XEE375" s="539"/>
      <c r="XEF375" s="539"/>
      <c r="XEG375" s="539"/>
    </row>
    <row r="376" ht="15.95" customHeight="1" spans="1:16361">
      <c r="A376" s="486">
        <v>-2</v>
      </c>
      <c r="B376" s="406" t="s">
        <v>369</v>
      </c>
      <c r="C376" s="484" t="s">
        <v>336</v>
      </c>
      <c r="D376" s="596">
        <v>0.1</v>
      </c>
      <c r="E376" s="596">
        <v>567.736</v>
      </c>
      <c r="F376" s="597">
        <v>56.7736</v>
      </c>
      <c r="G376" s="484">
        <v>0.1</v>
      </c>
      <c r="H376" s="425">
        <f>I374</f>
        <v>427.18</v>
      </c>
      <c r="I376" s="426">
        <f>G376*H376</f>
        <v>42.718</v>
      </c>
      <c r="J376" s="437">
        <f t="shared" si="54"/>
        <v>42.718</v>
      </c>
      <c r="K376" s="608"/>
      <c r="L376" s="605" t="s">
        <v>370</v>
      </c>
      <c r="M376" s="606" t="s">
        <v>167</v>
      </c>
      <c r="N376" s="606">
        <v>60</v>
      </c>
      <c r="O376" s="606">
        <v>1.03</v>
      </c>
      <c r="P376" s="606">
        <v>61.8</v>
      </c>
      <c r="XDO376" s="539"/>
      <c r="XDP376" s="539"/>
      <c r="XDQ376" s="539"/>
      <c r="XDR376" s="539"/>
      <c r="XDS376" s="539"/>
      <c r="XDY376" s="539"/>
      <c r="XDZ376" s="539"/>
      <c r="XEA376" s="539"/>
      <c r="XEB376" s="539"/>
      <c r="XEC376" s="539"/>
      <c r="XED376" s="539"/>
      <c r="XEE376" s="539"/>
      <c r="XEF376" s="539"/>
      <c r="XEG376" s="539"/>
    </row>
    <row r="377" ht="15.95" customHeight="1" spans="1:16361">
      <c r="A377" s="123" t="s">
        <v>337</v>
      </c>
      <c r="B377" s="406" t="s">
        <v>338</v>
      </c>
      <c r="C377" s="484"/>
      <c r="D377" s="596"/>
      <c r="E377" s="596"/>
      <c r="F377" s="597">
        <v>750.492608</v>
      </c>
      <c r="G377" s="484"/>
      <c r="H377" s="425"/>
      <c r="I377" s="426">
        <f>SUM(I378:I379)</f>
        <v>563.12</v>
      </c>
      <c r="J377" s="437">
        <f t="shared" si="54"/>
        <v>0</v>
      </c>
      <c r="K377" s="605" t="s">
        <v>334</v>
      </c>
      <c r="L377" s="605" t="s">
        <v>369</v>
      </c>
      <c r="M377" s="607">
        <v>0.1</v>
      </c>
      <c r="N377" s="606"/>
      <c r="O377" s="606"/>
      <c r="P377" s="606"/>
      <c r="XDO377" s="539"/>
      <c r="XDP377" s="539"/>
      <c r="XDQ377" s="539"/>
      <c r="XDR377" s="539"/>
      <c r="XDS377" s="539"/>
      <c r="XDY377" s="539"/>
      <c r="XDZ377" s="539"/>
      <c r="XEA377" s="539"/>
      <c r="XEB377" s="539"/>
      <c r="XEC377" s="539"/>
      <c r="XED377" s="539"/>
      <c r="XEE377" s="539"/>
      <c r="XEF377" s="539"/>
      <c r="XEG377" s="539"/>
    </row>
    <row r="378" ht="15.95" customHeight="1" spans="1:16361">
      <c r="A378" s="485"/>
      <c r="B378" s="406" t="s">
        <v>339</v>
      </c>
      <c r="C378" s="123" t="s">
        <v>169</v>
      </c>
      <c r="D378" s="596">
        <v>112.064</v>
      </c>
      <c r="E378" s="596">
        <v>3.98</v>
      </c>
      <c r="F378" s="597">
        <v>446.01472</v>
      </c>
      <c r="G378" s="298">
        <v>84</v>
      </c>
      <c r="H378" s="425">
        <f>H349</f>
        <v>3.98</v>
      </c>
      <c r="I378" s="426">
        <f>G378*H378</f>
        <v>334.32</v>
      </c>
      <c r="J378" s="437">
        <f t="shared" si="54"/>
        <v>334.32</v>
      </c>
      <c r="K378" s="605" t="s">
        <v>337</v>
      </c>
      <c r="L378" s="605" t="s">
        <v>338</v>
      </c>
      <c r="M378" s="605" t="s">
        <v>248</v>
      </c>
      <c r="N378" s="605"/>
      <c r="O378" s="606"/>
      <c r="P378" s="606"/>
      <c r="XDO378" s="539"/>
      <c r="XDP378" s="539"/>
      <c r="XDQ378" s="539"/>
      <c r="XDR378" s="539"/>
      <c r="XDS378" s="539"/>
      <c r="XDY378" s="539"/>
      <c r="XDZ378" s="539"/>
      <c r="XEA378" s="539"/>
      <c r="XEB378" s="539"/>
      <c r="XEC378" s="539"/>
      <c r="XED378" s="539"/>
      <c r="XEE378" s="539"/>
      <c r="XEF378" s="539"/>
      <c r="XEG378" s="539"/>
    </row>
    <row r="379" ht="15.95" customHeight="1" spans="1:16361">
      <c r="A379" s="485"/>
      <c r="B379" s="406" t="s">
        <v>340</v>
      </c>
      <c r="C379" s="123" t="s">
        <v>169</v>
      </c>
      <c r="D379" s="596">
        <v>106.4608</v>
      </c>
      <c r="E379" s="596">
        <v>2.86</v>
      </c>
      <c r="F379" s="597">
        <v>304.477888</v>
      </c>
      <c r="G379" s="298">
        <v>80</v>
      </c>
      <c r="H379" s="425">
        <f>H350</f>
        <v>2.86</v>
      </c>
      <c r="I379" s="426">
        <f>G379*H379</f>
        <v>228.8</v>
      </c>
      <c r="J379" s="437">
        <f t="shared" si="54"/>
        <v>228.8</v>
      </c>
      <c r="K379" s="608"/>
      <c r="L379" s="605" t="s">
        <v>339</v>
      </c>
      <c r="M379" s="605" t="s">
        <v>307</v>
      </c>
      <c r="N379" s="606">
        <v>81.6</v>
      </c>
      <c r="O379" s="606">
        <v>1.03</v>
      </c>
      <c r="P379" s="606">
        <v>84.048</v>
      </c>
      <c r="XDO379" s="539"/>
      <c r="XDP379" s="539"/>
      <c r="XDQ379" s="539"/>
      <c r="XDR379" s="539"/>
      <c r="XDS379" s="539"/>
      <c r="XDY379" s="539"/>
      <c r="XDZ379" s="539"/>
      <c r="XEA379" s="539"/>
      <c r="XEB379" s="539"/>
      <c r="XEC379" s="539"/>
      <c r="XED379" s="539"/>
      <c r="XEE379" s="539"/>
      <c r="XEF379" s="539"/>
      <c r="XEG379" s="539"/>
    </row>
    <row r="380" ht="15.95" customHeight="1" spans="1:16361">
      <c r="A380" s="486">
        <v>-4</v>
      </c>
      <c r="B380" s="406" t="s">
        <v>371</v>
      </c>
      <c r="C380" s="123" t="s">
        <v>193</v>
      </c>
      <c r="D380" s="596">
        <v>16</v>
      </c>
      <c r="E380" s="596"/>
      <c r="F380" s="597">
        <v>23176.4878032247</v>
      </c>
      <c r="G380" s="298">
        <v>12</v>
      </c>
      <c r="H380" s="425"/>
      <c r="I380" s="426">
        <f>SUM(I381:I386)</f>
        <v>17379.2004675495</v>
      </c>
      <c r="J380" s="437">
        <f t="shared" si="54"/>
        <v>0</v>
      </c>
      <c r="K380" s="608"/>
      <c r="L380" s="605" t="s">
        <v>340</v>
      </c>
      <c r="M380" s="605" t="s">
        <v>307</v>
      </c>
      <c r="N380" s="606">
        <v>77.52</v>
      </c>
      <c r="O380" s="606">
        <v>1.03</v>
      </c>
      <c r="P380" s="606">
        <v>79.8456</v>
      </c>
      <c r="XDO380" s="539"/>
      <c r="XDP380" s="539"/>
      <c r="XDQ380" s="539"/>
      <c r="XDR380" s="539"/>
      <c r="XDS380" s="539"/>
      <c r="XDY380" s="539"/>
      <c r="XDZ380" s="539"/>
      <c r="XEA380" s="539"/>
      <c r="XEB380" s="539"/>
      <c r="XEC380" s="539"/>
      <c r="XED380" s="539"/>
      <c r="XEE380" s="539"/>
      <c r="XEF380" s="539"/>
      <c r="XEG380" s="539"/>
    </row>
    <row r="381" ht="33.95" customHeight="1" spans="1:16361">
      <c r="A381" s="485" t="s">
        <v>248</v>
      </c>
      <c r="B381" s="406" t="s">
        <v>372</v>
      </c>
      <c r="C381" s="123" t="s">
        <v>305</v>
      </c>
      <c r="D381" s="596">
        <v>16</v>
      </c>
      <c r="E381" s="596">
        <v>1000</v>
      </c>
      <c r="F381" s="597">
        <v>16000</v>
      </c>
      <c r="G381" s="298">
        <f>G380</f>
        <v>12</v>
      </c>
      <c r="H381" s="425">
        <v>1000</v>
      </c>
      <c r="I381" s="426">
        <f t="shared" ref="I381:I386" si="55">G381*H381</f>
        <v>12000</v>
      </c>
      <c r="J381" s="437">
        <f t="shared" si="54"/>
        <v>12000</v>
      </c>
      <c r="K381" s="605" t="s">
        <v>342</v>
      </c>
      <c r="L381" s="605" t="s">
        <v>371</v>
      </c>
      <c r="M381" s="605" t="s">
        <v>193</v>
      </c>
      <c r="N381" s="606">
        <v>12</v>
      </c>
      <c r="O381" s="606">
        <v>1</v>
      </c>
      <c r="P381" s="606">
        <v>12</v>
      </c>
      <c r="XDO381" s="539"/>
      <c r="XDP381" s="539"/>
      <c r="XDQ381" s="539"/>
      <c r="XDR381" s="539"/>
      <c r="XDS381" s="539"/>
      <c r="XDY381" s="539"/>
      <c r="XDZ381" s="539"/>
      <c r="XEA381" s="539"/>
      <c r="XEB381" s="539"/>
      <c r="XEC381" s="539"/>
      <c r="XED381" s="539"/>
      <c r="XEE381" s="539"/>
      <c r="XEF381" s="539"/>
      <c r="XEG381" s="539"/>
    </row>
    <row r="382" ht="15.95" customHeight="1" spans="1:16361">
      <c r="A382" s="485" t="s">
        <v>248</v>
      </c>
      <c r="B382" s="406" t="s">
        <v>373</v>
      </c>
      <c r="C382" s="123" t="s">
        <v>307</v>
      </c>
      <c r="D382" s="596">
        <v>9.737788096</v>
      </c>
      <c r="E382" s="596">
        <v>559.323847944922</v>
      </c>
      <c r="F382" s="597">
        <v>5446.57710832698</v>
      </c>
      <c r="G382" s="298">
        <v>7.3</v>
      </c>
      <c r="H382" s="425">
        <f>单价汇总表!D90/100</f>
        <v>559.23015732759</v>
      </c>
      <c r="I382" s="426">
        <f t="shared" si="55"/>
        <v>4082.38014849141</v>
      </c>
      <c r="J382" s="437">
        <f t="shared" si="54"/>
        <v>4082.38014849141</v>
      </c>
      <c r="K382" s="608" t="s">
        <v>248</v>
      </c>
      <c r="L382" s="605" t="s">
        <v>372</v>
      </c>
      <c r="M382" s="605" t="s">
        <v>305</v>
      </c>
      <c r="N382" s="605">
        <v>12</v>
      </c>
      <c r="O382" s="606">
        <v>1</v>
      </c>
      <c r="P382" s="606">
        <v>12</v>
      </c>
      <c r="XDO382" s="539"/>
      <c r="XDP382" s="539"/>
      <c r="XDQ382" s="539"/>
      <c r="XDR382" s="539"/>
      <c r="XDS382" s="539"/>
      <c r="XDY382" s="539"/>
      <c r="XDZ382" s="539"/>
      <c r="XEA382" s="539"/>
      <c r="XEB382" s="539"/>
      <c r="XEC382" s="539"/>
      <c r="XED382" s="539"/>
      <c r="XEE382" s="539"/>
      <c r="XEF382" s="539"/>
      <c r="XEG382" s="539"/>
    </row>
    <row r="383" ht="15.95" customHeight="1" spans="1:16361">
      <c r="A383" s="123" t="s">
        <v>248</v>
      </c>
      <c r="B383" s="406" t="s">
        <v>374</v>
      </c>
      <c r="C383" s="123" t="s">
        <v>307</v>
      </c>
      <c r="D383" s="596">
        <v>0.9314496</v>
      </c>
      <c r="E383" s="596">
        <v>128.489047091908</v>
      </c>
      <c r="F383" s="597">
        <v>119.681071518139</v>
      </c>
      <c r="G383" s="298">
        <v>0.7</v>
      </c>
      <c r="H383" s="604">
        <f>新定额单价!R660/100</f>
        <v>128.489047091908</v>
      </c>
      <c r="I383" s="426">
        <f t="shared" si="55"/>
        <v>89.9423329643356</v>
      </c>
      <c r="J383" s="437">
        <f t="shared" si="54"/>
        <v>89.9423329643356</v>
      </c>
      <c r="K383" s="608" t="s">
        <v>248</v>
      </c>
      <c r="L383" s="605" t="s">
        <v>373</v>
      </c>
      <c r="M383" s="605" t="s">
        <v>307</v>
      </c>
      <c r="N383" s="606">
        <v>7.0906224</v>
      </c>
      <c r="O383" s="606">
        <v>1.03</v>
      </c>
      <c r="P383" s="606">
        <v>7.303341072</v>
      </c>
      <c r="XDO383" s="539"/>
      <c r="XDP383" s="539"/>
      <c r="XDQ383" s="539"/>
      <c r="XDR383" s="539"/>
      <c r="XDS383" s="539"/>
      <c r="XDY383" s="539"/>
      <c r="XDZ383" s="539"/>
      <c r="XEA383" s="539"/>
      <c r="XEB383" s="539"/>
      <c r="XEC383" s="539"/>
      <c r="XED383" s="539"/>
      <c r="XEE383" s="539"/>
      <c r="XEF383" s="539"/>
      <c r="XEG383" s="539"/>
    </row>
    <row r="384" ht="15.95" customHeight="1" spans="1:16361">
      <c r="A384" s="123" t="s">
        <v>248</v>
      </c>
      <c r="B384" s="406" t="s">
        <v>375</v>
      </c>
      <c r="C384" s="123" t="s">
        <v>305</v>
      </c>
      <c r="D384" s="596">
        <v>16</v>
      </c>
      <c r="E384" s="596">
        <v>50</v>
      </c>
      <c r="F384" s="597">
        <v>800</v>
      </c>
      <c r="G384" s="298">
        <f>G380</f>
        <v>12</v>
      </c>
      <c r="H384" s="425">
        <v>50</v>
      </c>
      <c r="I384" s="426">
        <f t="shared" si="55"/>
        <v>600</v>
      </c>
      <c r="J384" s="437">
        <f t="shared" si="54"/>
        <v>600</v>
      </c>
      <c r="K384" s="605" t="s">
        <v>248</v>
      </c>
      <c r="L384" s="605" t="s">
        <v>374</v>
      </c>
      <c r="M384" s="605" t="s">
        <v>307</v>
      </c>
      <c r="N384" s="606">
        <v>0.67824</v>
      </c>
      <c r="O384" s="606">
        <v>1.03</v>
      </c>
      <c r="P384" s="606">
        <v>0.6985872</v>
      </c>
      <c r="XDO384" s="539"/>
      <c r="XDP384" s="539"/>
      <c r="XDQ384" s="539"/>
      <c r="XDR384" s="539"/>
      <c r="XDS384" s="539"/>
      <c r="XDY384" s="539"/>
      <c r="XDZ384" s="539"/>
      <c r="XEA384" s="539"/>
      <c r="XEB384" s="539"/>
      <c r="XEC384" s="539"/>
      <c r="XED384" s="539"/>
      <c r="XEE384" s="539"/>
      <c r="XEF384" s="539"/>
      <c r="XEG384" s="539"/>
    </row>
    <row r="385" ht="15.95" customHeight="1" spans="1:16361">
      <c r="A385" s="123" t="s">
        <v>248</v>
      </c>
      <c r="B385" s="406" t="s">
        <v>376</v>
      </c>
      <c r="C385" s="123" t="s">
        <v>307</v>
      </c>
      <c r="D385" s="596">
        <v>0.42848</v>
      </c>
      <c r="E385" s="596">
        <v>583.993706543077</v>
      </c>
      <c r="F385" s="597">
        <v>250.229623379578</v>
      </c>
      <c r="G385" s="298">
        <v>0.32</v>
      </c>
      <c r="H385" s="425">
        <f>单价汇总表!D138/100/0.03</f>
        <v>583.993706543077</v>
      </c>
      <c r="I385" s="426">
        <f t="shared" si="55"/>
        <v>186.877986093785</v>
      </c>
      <c r="J385" s="437">
        <f t="shared" si="54"/>
        <v>186.877986093785</v>
      </c>
      <c r="K385" s="605" t="s">
        <v>248</v>
      </c>
      <c r="L385" s="605" t="s">
        <v>375</v>
      </c>
      <c r="M385" s="605" t="s">
        <v>200</v>
      </c>
      <c r="N385" s="606">
        <v>0.72</v>
      </c>
      <c r="O385" s="606">
        <v>1.03</v>
      </c>
      <c r="P385" s="606">
        <v>0.7416</v>
      </c>
      <c r="XDO385" s="539"/>
      <c r="XDP385" s="539"/>
      <c r="XDQ385" s="539"/>
      <c r="XDR385" s="539"/>
      <c r="XDS385" s="539"/>
      <c r="XDY385" s="539"/>
      <c r="XDZ385" s="539"/>
      <c r="XEA385" s="539"/>
      <c r="XEB385" s="539"/>
      <c r="XEC385" s="539"/>
      <c r="XED385" s="539"/>
      <c r="XEE385" s="539"/>
      <c r="XEF385" s="539"/>
      <c r="XEG385" s="539"/>
    </row>
    <row r="386" ht="15.95" customHeight="1" spans="1:16361">
      <c r="A386" s="123" t="s">
        <v>248</v>
      </c>
      <c r="B386" s="406" t="s">
        <v>377</v>
      </c>
      <c r="C386" s="123" t="s">
        <v>363</v>
      </c>
      <c r="D386" s="596">
        <v>16</v>
      </c>
      <c r="E386" s="596">
        <v>35</v>
      </c>
      <c r="F386" s="597">
        <v>560</v>
      </c>
      <c r="G386" s="298">
        <f>G380</f>
        <v>12</v>
      </c>
      <c r="H386" s="425">
        <v>35</v>
      </c>
      <c r="I386" s="426">
        <f t="shared" si="55"/>
        <v>420</v>
      </c>
      <c r="J386" s="437">
        <f t="shared" si="54"/>
        <v>420</v>
      </c>
      <c r="K386" s="605" t="s">
        <v>248</v>
      </c>
      <c r="L386" s="605" t="s">
        <v>376</v>
      </c>
      <c r="M386" s="605" t="s">
        <v>307</v>
      </c>
      <c r="N386" s="606">
        <v>0.312</v>
      </c>
      <c r="O386" s="606">
        <v>1.03</v>
      </c>
      <c r="P386" s="606">
        <v>0.32136</v>
      </c>
      <c r="XDO386" s="539"/>
      <c r="XDP386" s="539"/>
      <c r="XDQ386" s="539"/>
      <c r="XDR386" s="539"/>
      <c r="XDS386" s="539"/>
      <c r="XDY386" s="539"/>
      <c r="XDZ386" s="539"/>
      <c r="XEA386" s="539"/>
      <c r="XEB386" s="539"/>
      <c r="XEC386" s="539"/>
      <c r="XED386" s="539"/>
      <c r="XEE386" s="539"/>
      <c r="XEF386" s="539"/>
      <c r="XEG386" s="539"/>
    </row>
    <row r="387" ht="15.95" customHeight="1" spans="1:16361">
      <c r="A387" s="123" t="s">
        <v>378</v>
      </c>
      <c r="B387" s="406" t="s">
        <v>379</v>
      </c>
      <c r="C387" s="123" t="s">
        <v>248</v>
      </c>
      <c r="D387" s="596"/>
      <c r="E387" s="596"/>
      <c r="F387" s="597">
        <v>206945.742</v>
      </c>
      <c r="G387" s="298"/>
      <c r="H387" s="425"/>
      <c r="I387" s="426">
        <f>SUM(I388:I392)</f>
        <v>234920.066</v>
      </c>
      <c r="J387" s="437">
        <f t="shared" si="54"/>
        <v>0</v>
      </c>
      <c r="K387" s="605" t="s">
        <v>248</v>
      </c>
      <c r="L387" s="605" t="s">
        <v>377</v>
      </c>
      <c r="M387" s="605" t="s">
        <v>363</v>
      </c>
      <c r="N387" s="605">
        <v>12</v>
      </c>
      <c r="O387" s="606">
        <v>1</v>
      </c>
      <c r="P387" s="606">
        <v>12</v>
      </c>
      <c r="XDO387" s="539"/>
      <c r="XDP387" s="539"/>
      <c r="XDQ387" s="539"/>
      <c r="XDR387" s="539"/>
      <c r="XDS387" s="539"/>
      <c r="XDY387" s="539"/>
      <c r="XDZ387" s="539"/>
      <c r="XEA387" s="539"/>
      <c r="XEB387" s="539"/>
      <c r="XEC387" s="539"/>
      <c r="XED387" s="539"/>
      <c r="XEE387" s="539"/>
      <c r="XEF387" s="539"/>
      <c r="XEG387" s="539"/>
    </row>
    <row r="388" ht="15.95" customHeight="1" spans="1:16361">
      <c r="A388" s="123"/>
      <c r="B388" s="487" t="s">
        <v>380</v>
      </c>
      <c r="C388" s="480" t="s">
        <v>167</v>
      </c>
      <c r="D388" s="589">
        <v>16745</v>
      </c>
      <c r="E388" s="589">
        <v>9.36</v>
      </c>
      <c r="F388" s="590">
        <v>156733.2</v>
      </c>
      <c r="G388" s="298">
        <v>17535</v>
      </c>
      <c r="H388" s="425">
        <f>管材!G37</f>
        <v>9.36</v>
      </c>
      <c r="I388" s="426">
        <f>G388*H388</f>
        <v>164127.6</v>
      </c>
      <c r="J388" s="437">
        <f t="shared" si="54"/>
        <v>164127.6</v>
      </c>
      <c r="K388" s="605">
        <v>4</v>
      </c>
      <c r="L388" s="605" t="s">
        <v>379</v>
      </c>
      <c r="M388" s="605" t="s">
        <v>248</v>
      </c>
      <c r="N388" s="605"/>
      <c r="O388" s="606"/>
      <c r="P388" s="606"/>
      <c r="XDO388" s="539"/>
      <c r="XDP388" s="539"/>
      <c r="XDQ388" s="539"/>
      <c r="XDR388" s="539"/>
      <c r="XDS388" s="539"/>
      <c r="XDY388" s="539"/>
      <c r="XDZ388" s="539"/>
      <c r="XEA388" s="539"/>
      <c r="XEB388" s="539"/>
      <c r="XEC388" s="539"/>
      <c r="XED388" s="539"/>
      <c r="XEE388" s="539"/>
      <c r="XEF388" s="539"/>
      <c r="XEG388" s="539"/>
    </row>
    <row r="389" ht="15.95" customHeight="1" spans="1:16361">
      <c r="A389" s="123"/>
      <c r="B389" s="406" t="s">
        <v>381</v>
      </c>
      <c r="C389" s="123" t="s">
        <v>167</v>
      </c>
      <c r="D389" s="596">
        <v>2657</v>
      </c>
      <c r="E389" s="596">
        <v>1.86</v>
      </c>
      <c r="F389" s="597">
        <v>4942.02</v>
      </c>
      <c r="G389" s="298">
        <v>3461</v>
      </c>
      <c r="H389" s="425">
        <f>管材!G33</f>
        <v>1.86</v>
      </c>
      <c r="I389" s="426">
        <f>G389*H389</f>
        <v>6437.46</v>
      </c>
      <c r="J389" s="437">
        <f t="shared" si="54"/>
        <v>6437.46</v>
      </c>
      <c r="K389" s="608"/>
      <c r="L389" s="605" t="s">
        <v>380</v>
      </c>
      <c r="M389" s="606" t="s">
        <v>167</v>
      </c>
      <c r="N389" s="606">
        <v>17024</v>
      </c>
      <c r="O389" s="606">
        <v>1.03</v>
      </c>
      <c r="P389" s="606">
        <v>17534.72</v>
      </c>
      <c r="XDO389" s="539"/>
      <c r="XDP389" s="539"/>
      <c r="XDQ389" s="539"/>
      <c r="XDR389" s="539"/>
      <c r="XDS389" s="539"/>
      <c r="XDY389" s="539"/>
      <c r="XDZ389" s="539"/>
      <c r="XEA389" s="539"/>
      <c r="XEB389" s="539"/>
      <c r="XEC389" s="539"/>
      <c r="XED389" s="539"/>
      <c r="XEE389" s="539"/>
      <c r="XEF389" s="539"/>
      <c r="XEG389" s="539"/>
    </row>
    <row r="390" ht="15.95" customHeight="1" spans="1:16361">
      <c r="A390" s="598"/>
      <c r="B390" s="599" t="s">
        <v>382</v>
      </c>
      <c r="C390" s="598" t="s">
        <v>167</v>
      </c>
      <c r="D390" s="600"/>
      <c r="E390" s="600"/>
      <c r="F390" s="601"/>
      <c r="G390" s="602">
        <f>G388</f>
        <v>17535</v>
      </c>
      <c r="H390" s="603">
        <v>2.5</v>
      </c>
      <c r="I390" s="609">
        <f>G390*H390</f>
        <v>43837.5</v>
      </c>
      <c r="J390" s="437"/>
      <c r="K390" s="605" t="s">
        <v>248</v>
      </c>
      <c r="L390" s="605" t="s">
        <v>381</v>
      </c>
      <c r="M390" s="605" t="s">
        <v>167</v>
      </c>
      <c r="N390" s="605">
        <v>3360</v>
      </c>
      <c r="O390" s="606">
        <v>1.03</v>
      </c>
      <c r="P390" s="606">
        <v>3460.8</v>
      </c>
      <c r="XDO390" s="539"/>
      <c r="XDP390" s="539"/>
      <c r="XDQ390" s="539"/>
      <c r="XDR390" s="539"/>
      <c r="XDS390" s="539"/>
      <c r="XDY390" s="539"/>
      <c r="XDZ390" s="539"/>
      <c r="XEA390" s="539"/>
      <c r="XEB390" s="539"/>
      <c r="XEC390" s="539"/>
      <c r="XED390" s="539"/>
      <c r="XEE390" s="539"/>
      <c r="XEF390" s="539"/>
      <c r="XEG390" s="539"/>
    </row>
    <row r="391" ht="15.95" customHeight="1" spans="1:16361">
      <c r="A391" s="598" t="s">
        <v>248</v>
      </c>
      <c r="B391" s="599" t="s">
        <v>383</v>
      </c>
      <c r="C391" s="598" t="s">
        <v>167</v>
      </c>
      <c r="D391" s="600">
        <v>19402</v>
      </c>
      <c r="E391" s="600">
        <v>1.5</v>
      </c>
      <c r="F391" s="601">
        <v>29103</v>
      </c>
      <c r="G391" s="602">
        <f>G389</f>
        <v>3461</v>
      </c>
      <c r="H391" s="603">
        <v>1</v>
      </c>
      <c r="I391" s="609">
        <f>G391*H391</f>
        <v>3461</v>
      </c>
      <c r="J391" s="437">
        <f t="shared" si="54"/>
        <v>3461</v>
      </c>
      <c r="K391" s="605"/>
      <c r="L391" s="605" t="s">
        <v>384</v>
      </c>
      <c r="M391" s="605" t="s">
        <v>167</v>
      </c>
      <c r="N391" s="605">
        <v>20384</v>
      </c>
      <c r="O391" s="606">
        <v>1.03</v>
      </c>
      <c r="P391" s="606">
        <v>20995.52</v>
      </c>
      <c r="XDO391" s="539"/>
      <c r="XDP391" s="539"/>
      <c r="XDQ391" s="539"/>
      <c r="XDR391" s="539"/>
      <c r="XDS391" s="539"/>
      <c r="XDY391" s="539"/>
      <c r="XDZ391" s="539"/>
      <c r="XEA391" s="539"/>
      <c r="XEB391" s="539"/>
      <c r="XEC391" s="539"/>
      <c r="XED391" s="539"/>
      <c r="XEE391" s="539"/>
      <c r="XEF391" s="539"/>
      <c r="XEG391" s="539"/>
    </row>
    <row r="392" ht="15.95" customHeight="1" spans="1:16361">
      <c r="A392" s="123"/>
      <c r="B392" s="406" t="s">
        <v>385</v>
      </c>
      <c r="C392" s="484" t="s">
        <v>336</v>
      </c>
      <c r="D392" s="596">
        <v>0.1</v>
      </c>
      <c r="E392" s="596">
        <v>161675.22</v>
      </c>
      <c r="F392" s="597">
        <v>16167.522</v>
      </c>
      <c r="G392" s="484">
        <v>0.1</v>
      </c>
      <c r="H392" s="425">
        <f>I388+I389</f>
        <v>170565.06</v>
      </c>
      <c r="I392" s="426">
        <f>G392*H392</f>
        <v>17056.506</v>
      </c>
      <c r="J392" s="437">
        <f t="shared" si="54"/>
        <v>17056.506</v>
      </c>
      <c r="K392" s="605"/>
      <c r="L392" s="605" t="s">
        <v>369</v>
      </c>
      <c r="M392" s="607">
        <v>0.1</v>
      </c>
      <c r="N392" s="605"/>
      <c r="O392" s="606"/>
      <c r="P392" s="606"/>
      <c r="XDO392" s="539"/>
      <c r="XDP392" s="539"/>
      <c r="XDQ392" s="539"/>
      <c r="XDR392" s="539"/>
      <c r="XDS392" s="539"/>
      <c r="XDY392" s="539"/>
      <c r="XDZ392" s="539"/>
      <c r="XEA392" s="539"/>
      <c r="XEB392" s="539"/>
      <c r="XEC392" s="539"/>
      <c r="XED392" s="539"/>
      <c r="XEE392" s="539"/>
      <c r="XEF392" s="539"/>
      <c r="XEG392" s="539"/>
    </row>
    <row r="393" ht="15.95" customHeight="1" spans="1:16361">
      <c r="A393" s="123" t="s">
        <v>386</v>
      </c>
      <c r="B393" s="406" t="s">
        <v>387</v>
      </c>
      <c r="C393" s="123" t="s">
        <v>248</v>
      </c>
      <c r="D393" s="596"/>
      <c r="E393" s="596"/>
      <c r="F393" s="597">
        <v>173656</v>
      </c>
      <c r="G393" s="425"/>
      <c r="H393" s="425"/>
      <c r="I393" s="426">
        <f>SUM(I394:I395)</f>
        <v>223317.6</v>
      </c>
      <c r="J393" s="437">
        <f t="shared" si="54"/>
        <v>0</v>
      </c>
      <c r="K393" s="605">
        <v>5</v>
      </c>
      <c r="L393" s="605" t="s">
        <v>387</v>
      </c>
      <c r="M393" s="605" t="s">
        <v>248</v>
      </c>
      <c r="N393" s="605"/>
      <c r="O393" s="606"/>
      <c r="P393" s="606"/>
      <c r="XDO393" s="539"/>
      <c r="XDP393" s="539"/>
      <c r="XDQ393" s="539"/>
      <c r="XDR393" s="539"/>
      <c r="XDS393" s="539"/>
      <c r="XDY393" s="539"/>
      <c r="XDZ393" s="539"/>
      <c r="XEA393" s="539"/>
      <c r="XEB393" s="539"/>
      <c r="XEC393" s="539"/>
      <c r="XED393" s="539"/>
      <c r="XEE393" s="539"/>
      <c r="XEF393" s="539"/>
      <c r="XEG393" s="539"/>
    </row>
    <row r="394" ht="35.25" customHeight="1" spans="1:16361">
      <c r="A394" s="610" t="s">
        <v>248</v>
      </c>
      <c r="B394" s="611" t="s">
        <v>388</v>
      </c>
      <c r="C394" s="610" t="s">
        <v>363</v>
      </c>
      <c r="D394" s="612">
        <v>1772</v>
      </c>
      <c r="E394" s="612">
        <v>88</v>
      </c>
      <c r="F394" s="613">
        <v>155936</v>
      </c>
      <c r="G394" s="614">
        <v>2307</v>
      </c>
      <c r="H394" s="614">
        <v>88</v>
      </c>
      <c r="I394" s="615">
        <f>G394*H394</f>
        <v>203016</v>
      </c>
      <c r="J394" s="437">
        <f t="shared" si="54"/>
        <v>203016</v>
      </c>
      <c r="K394" s="605" t="s">
        <v>248</v>
      </c>
      <c r="L394" s="605" t="s">
        <v>389</v>
      </c>
      <c r="M394" s="605" t="s">
        <v>363</v>
      </c>
      <c r="N394" s="605">
        <v>2240</v>
      </c>
      <c r="O394" s="606">
        <v>1.03</v>
      </c>
      <c r="P394" s="606">
        <v>2307.2</v>
      </c>
      <c r="XDO394" s="539"/>
      <c r="XDP394" s="539"/>
      <c r="XDQ394" s="539"/>
      <c r="XDR394" s="539"/>
      <c r="XDS394" s="539"/>
      <c r="XDY394" s="539"/>
      <c r="XDZ394" s="539"/>
      <c r="XEA394" s="539"/>
      <c r="XEB394" s="539"/>
      <c r="XEC394" s="539"/>
      <c r="XED394" s="539"/>
      <c r="XEE394" s="539"/>
      <c r="XEF394" s="539"/>
      <c r="XEG394" s="539"/>
    </row>
    <row r="395" ht="15.95" customHeight="1" spans="1:16361">
      <c r="A395" s="610" t="s">
        <v>248</v>
      </c>
      <c r="B395" s="611" t="s">
        <v>390</v>
      </c>
      <c r="C395" s="610" t="s">
        <v>363</v>
      </c>
      <c r="D395" s="612">
        <v>1772</v>
      </c>
      <c r="E395" s="612">
        <v>10</v>
      </c>
      <c r="F395" s="613">
        <v>17720</v>
      </c>
      <c r="G395" s="614">
        <f>G394</f>
        <v>2307</v>
      </c>
      <c r="H395" s="614">
        <f>H394*0.1</f>
        <v>8.8</v>
      </c>
      <c r="I395" s="615">
        <f>G395*H395</f>
        <v>20301.6</v>
      </c>
      <c r="J395" s="437">
        <f t="shared" si="54"/>
        <v>20301.6</v>
      </c>
      <c r="XDO395" s="539"/>
      <c r="XDP395" s="539"/>
      <c r="XDQ395" s="539"/>
      <c r="XDR395" s="539"/>
      <c r="XDS395" s="539"/>
      <c r="XDY395" s="539"/>
      <c r="XDZ395" s="539"/>
      <c r="XEA395" s="539"/>
      <c r="XEB395" s="539"/>
      <c r="XEC395" s="539"/>
      <c r="XED395" s="539"/>
      <c r="XEE395" s="539"/>
      <c r="XEF395" s="539"/>
      <c r="XEG395" s="539"/>
    </row>
    <row r="396" ht="15.95" customHeight="1" spans="1:16361">
      <c r="A396" s="123" t="s">
        <v>391</v>
      </c>
      <c r="B396" s="406" t="s">
        <v>392</v>
      </c>
      <c r="C396" s="123"/>
      <c r="D396" s="596"/>
      <c r="E396" s="596"/>
      <c r="F396" s="597">
        <v>5393.85467057593</v>
      </c>
      <c r="G396" s="425"/>
      <c r="H396" s="425"/>
      <c r="I396" s="426">
        <f>I397</f>
        <v>0</v>
      </c>
      <c r="J396" s="437">
        <f t="shared" si="54"/>
        <v>0</v>
      </c>
      <c r="XDO396" s="539"/>
      <c r="XDP396" s="539"/>
      <c r="XDQ396" s="539"/>
      <c r="XDR396" s="539"/>
      <c r="XDS396" s="539"/>
      <c r="XDY396" s="539"/>
      <c r="XDZ396" s="539"/>
      <c r="XEA396" s="539"/>
      <c r="XEB396" s="539"/>
      <c r="XEC396" s="539"/>
      <c r="XED396" s="539"/>
      <c r="XEE396" s="539"/>
      <c r="XEF396" s="539"/>
      <c r="XEG396" s="539"/>
    </row>
    <row r="397" ht="15.95" customHeight="1" spans="1:16361">
      <c r="A397" s="123"/>
      <c r="B397" s="406" t="s">
        <v>393</v>
      </c>
      <c r="C397" s="123" t="s">
        <v>307</v>
      </c>
      <c r="D397" s="596">
        <v>9.8</v>
      </c>
      <c r="E397" s="596">
        <v>550.393333732238</v>
      </c>
      <c r="F397" s="597">
        <v>5393.85467057593</v>
      </c>
      <c r="G397" s="425"/>
      <c r="H397" s="425">
        <f>单价汇总表!D76/100</f>
        <v>550.378096447838</v>
      </c>
      <c r="I397" s="426">
        <f>G397*H397</f>
        <v>0</v>
      </c>
      <c r="J397" s="437">
        <f t="shared" si="54"/>
        <v>0</v>
      </c>
      <c r="XDO397" s="539"/>
      <c r="XDP397" s="539"/>
      <c r="XDQ397" s="539"/>
      <c r="XDR397" s="539"/>
      <c r="XDS397" s="539"/>
      <c r="XDY397" s="539"/>
      <c r="XDZ397" s="539"/>
      <c r="XEA397" s="539"/>
      <c r="XEB397" s="539"/>
      <c r="XEC397" s="539"/>
      <c r="XED397" s="539"/>
      <c r="XEE397" s="539"/>
      <c r="XEF397" s="539"/>
      <c r="XEG397" s="539"/>
    </row>
    <row r="398" ht="15.95" customHeight="1" spans="1:16361">
      <c r="A398" s="468">
        <v>2.2</v>
      </c>
      <c r="B398" s="418" t="s">
        <v>394</v>
      </c>
      <c r="C398" s="468"/>
      <c r="D398" s="573"/>
      <c r="E398" s="573"/>
      <c r="F398" s="574">
        <v>1706293.10150727</v>
      </c>
      <c r="G398" s="298"/>
      <c r="H398" s="425"/>
      <c r="I398" s="426">
        <f>I399+I413+I429+I444+I450</f>
        <v>1178261.92425132</v>
      </c>
      <c r="J398" s="437">
        <f t="shared" si="54"/>
        <v>0</v>
      </c>
      <c r="K398" s="605" t="s">
        <v>395</v>
      </c>
      <c r="L398" s="605" t="s">
        <v>394</v>
      </c>
      <c r="M398" s="605"/>
      <c r="N398" s="605"/>
      <c r="O398" s="606"/>
      <c r="P398" s="606"/>
      <c r="XDO398" s="539"/>
      <c r="XDP398" s="539"/>
      <c r="XDQ398" s="539"/>
      <c r="XDR398" s="539"/>
      <c r="XDS398" s="539"/>
      <c r="XDY398" s="539"/>
      <c r="XDZ398" s="539"/>
      <c r="XEA398" s="539"/>
      <c r="XEB398" s="539"/>
      <c r="XEC398" s="539"/>
      <c r="XED398" s="539"/>
      <c r="XEE398" s="539"/>
      <c r="XEF398" s="539"/>
      <c r="XEG398" s="539"/>
    </row>
    <row r="399" ht="15.95" customHeight="1" spans="1:16361">
      <c r="A399" s="123" t="s">
        <v>396</v>
      </c>
      <c r="B399" s="406" t="s">
        <v>327</v>
      </c>
      <c r="C399" s="468"/>
      <c r="D399" s="573"/>
      <c r="E399" s="573"/>
      <c r="F399" s="574">
        <v>1104651.7375704</v>
      </c>
      <c r="G399" s="298"/>
      <c r="H399" s="425"/>
      <c r="I399" s="426">
        <f>I400+I404+I405+I408+I411</f>
        <v>551364.884</v>
      </c>
      <c r="J399" s="437">
        <f t="shared" si="54"/>
        <v>0</v>
      </c>
      <c r="K399" s="605">
        <v>1</v>
      </c>
      <c r="L399" s="605" t="s">
        <v>327</v>
      </c>
      <c r="M399" s="605"/>
      <c r="N399" s="605"/>
      <c r="O399" s="606"/>
      <c r="P399" s="606"/>
      <c r="XDO399" s="539"/>
      <c r="XDP399" s="539"/>
      <c r="XDQ399" s="539"/>
      <c r="XDR399" s="539"/>
      <c r="XDS399" s="539"/>
      <c r="XDY399" s="539"/>
      <c r="XDZ399" s="539"/>
      <c r="XEA399" s="539"/>
      <c r="XEB399" s="539"/>
      <c r="XEC399" s="539"/>
      <c r="XED399" s="539"/>
      <c r="XEE399" s="539"/>
      <c r="XEF399" s="539"/>
      <c r="XEG399" s="539"/>
    </row>
    <row r="400" ht="15.95" customHeight="1" spans="1:16361">
      <c r="A400" s="123" t="s">
        <v>329</v>
      </c>
      <c r="B400" s="406" t="s">
        <v>330</v>
      </c>
      <c r="C400" s="123" t="s">
        <v>248</v>
      </c>
      <c r="D400" s="596"/>
      <c r="E400" s="596"/>
      <c r="F400" s="597">
        <v>829961.83</v>
      </c>
      <c r="G400" s="298"/>
      <c r="H400" s="425"/>
      <c r="I400" s="426">
        <f>SUM(I401:I403)</f>
        <v>335040.59</v>
      </c>
      <c r="J400" s="437">
        <f t="shared" si="54"/>
        <v>0</v>
      </c>
      <c r="K400" s="605" t="s">
        <v>329</v>
      </c>
      <c r="L400" s="605" t="s">
        <v>330</v>
      </c>
      <c r="M400" s="605" t="s">
        <v>248</v>
      </c>
      <c r="N400" s="605"/>
      <c r="O400" s="606"/>
      <c r="P400" s="606"/>
      <c r="XDO400" s="539"/>
      <c r="XDP400" s="539"/>
      <c r="XDQ400" s="539"/>
      <c r="XDR400" s="539"/>
      <c r="XDS400" s="539"/>
      <c r="XDY400" s="539"/>
      <c r="XDZ400" s="539"/>
      <c r="XEA400" s="539"/>
      <c r="XEB400" s="539"/>
      <c r="XEC400" s="539"/>
      <c r="XED400" s="539"/>
      <c r="XEE400" s="539"/>
      <c r="XEF400" s="539"/>
      <c r="XEG400" s="539"/>
    </row>
    <row r="401" ht="15.95" customHeight="1" spans="1:16361">
      <c r="A401" s="123" t="s">
        <v>248</v>
      </c>
      <c r="B401" s="406" t="s">
        <v>397</v>
      </c>
      <c r="C401" s="123" t="s">
        <v>167</v>
      </c>
      <c r="D401" s="596">
        <v>7747</v>
      </c>
      <c r="E401" s="596">
        <v>52.99</v>
      </c>
      <c r="F401" s="597">
        <v>410513.53</v>
      </c>
      <c r="G401" s="298">
        <v>4120</v>
      </c>
      <c r="H401" s="425">
        <f>管材!M14</f>
        <v>26.15</v>
      </c>
      <c r="I401" s="426">
        <f t="shared" ref="I401:I404" si="56">G401*H401</f>
        <v>107738</v>
      </c>
      <c r="J401" s="437">
        <f t="shared" si="54"/>
        <v>107738</v>
      </c>
      <c r="K401" s="605" t="s">
        <v>248</v>
      </c>
      <c r="L401" s="605" t="s">
        <v>397</v>
      </c>
      <c r="M401" s="605" t="s">
        <v>167</v>
      </c>
      <c r="N401" s="605">
        <v>4000</v>
      </c>
      <c r="O401" s="606">
        <v>1.03</v>
      </c>
      <c r="P401" s="606">
        <v>4120</v>
      </c>
      <c r="XDO401" s="539"/>
      <c r="XDP401" s="539"/>
      <c r="XDQ401" s="539"/>
      <c r="XDR401" s="539"/>
      <c r="XDS401" s="539"/>
      <c r="XDY401" s="539"/>
      <c r="XDZ401" s="539"/>
      <c r="XEA401" s="539"/>
      <c r="XEB401" s="539"/>
      <c r="XEC401" s="539"/>
      <c r="XED401" s="539"/>
      <c r="XEE401" s="539"/>
      <c r="XEF401" s="539"/>
      <c r="XEG401" s="539"/>
    </row>
    <row r="402" ht="15.95" customHeight="1" spans="1:16361">
      <c r="A402" s="123" t="s">
        <v>248</v>
      </c>
      <c r="B402" s="406" t="s">
        <v>398</v>
      </c>
      <c r="C402" s="123" t="s">
        <v>167</v>
      </c>
      <c r="D402" s="596">
        <v>8425</v>
      </c>
      <c r="E402" s="596">
        <v>42.3</v>
      </c>
      <c r="F402" s="597">
        <v>356377.5</v>
      </c>
      <c r="G402" s="298">
        <v>8379</v>
      </c>
      <c r="H402" s="425">
        <f>管材!L14</f>
        <v>21.31</v>
      </c>
      <c r="I402" s="426">
        <f t="shared" si="56"/>
        <v>178556.49</v>
      </c>
      <c r="J402" s="437">
        <f t="shared" si="54"/>
        <v>178556.49</v>
      </c>
      <c r="K402" s="605" t="s">
        <v>248</v>
      </c>
      <c r="L402" s="605" t="s">
        <v>398</v>
      </c>
      <c r="M402" s="605" t="s">
        <v>167</v>
      </c>
      <c r="N402" s="605">
        <v>8135</v>
      </c>
      <c r="O402" s="606">
        <v>1.03</v>
      </c>
      <c r="P402" s="606">
        <v>8379.05</v>
      </c>
      <c r="XDO402" s="539"/>
      <c r="XDP402" s="539"/>
      <c r="XDQ402" s="539"/>
      <c r="XDR402" s="539"/>
      <c r="XDS402" s="539"/>
      <c r="XDY402" s="539"/>
      <c r="XDZ402" s="539"/>
      <c r="XEA402" s="539"/>
      <c r="XEB402" s="539"/>
      <c r="XEC402" s="539"/>
      <c r="XED402" s="539"/>
      <c r="XEE402" s="539"/>
      <c r="XEF402" s="539"/>
      <c r="XEG402" s="539"/>
    </row>
    <row r="403" ht="15.95" customHeight="1" spans="1:16361">
      <c r="A403" s="123"/>
      <c r="B403" s="406" t="s">
        <v>399</v>
      </c>
      <c r="C403" s="123" t="s">
        <v>167</v>
      </c>
      <c r="D403" s="596">
        <v>16172</v>
      </c>
      <c r="E403" s="596">
        <v>3.9</v>
      </c>
      <c r="F403" s="597">
        <v>63070.8</v>
      </c>
      <c r="G403" s="298">
        <f>G401+G402</f>
        <v>12499</v>
      </c>
      <c r="H403" s="425">
        <v>3.9</v>
      </c>
      <c r="I403" s="426">
        <f t="shared" si="56"/>
        <v>48746.1</v>
      </c>
      <c r="J403" s="437">
        <f t="shared" si="54"/>
        <v>48746.1</v>
      </c>
      <c r="K403" s="605"/>
      <c r="L403" s="605" t="s">
        <v>399</v>
      </c>
      <c r="M403" s="605" t="s">
        <v>167</v>
      </c>
      <c r="N403" s="605">
        <v>12135</v>
      </c>
      <c r="O403" s="606">
        <v>1.03</v>
      </c>
      <c r="P403" s="606">
        <v>12499.05</v>
      </c>
      <c r="XDO403" s="539"/>
      <c r="XDP403" s="539"/>
      <c r="XDQ403" s="539"/>
      <c r="XDR403" s="539"/>
      <c r="XDS403" s="539"/>
      <c r="XDY403" s="539"/>
      <c r="XDZ403" s="539"/>
      <c r="XEA403" s="539"/>
      <c r="XEB403" s="539"/>
      <c r="XEC403" s="539"/>
      <c r="XED403" s="539"/>
      <c r="XEE403" s="539"/>
      <c r="XEF403" s="539"/>
      <c r="XEG403" s="539"/>
    </row>
    <row r="404" ht="15.95" customHeight="1" spans="1:16361">
      <c r="A404" s="123" t="s">
        <v>334</v>
      </c>
      <c r="B404" s="406" t="s">
        <v>335</v>
      </c>
      <c r="C404" s="484" t="s">
        <v>336</v>
      </c>
      <c r="D404" s="596">
        <v>0.1</v>
      </c>
      <c r="E404" s="596">
        <v>766891.03</v>
      </c>
      <c r="F404" s="597">
        <v>76689.103</v>
      </c>
      <c r="G404" s="484">
        <v>0.1</v>
      </c>
      <c r="H404" s="425">
        <f>I401+I402</f>
        <v>286294.49</v>
      </c>
      <c r="I404" s="426">
        <f t="shared" si="56"/>
        <v>28629.449</v>
      </c>
      <c r="J404" s="437">
        <f t="shared" si="54"/>
        <v>28629.449</v>
      </c>
      <c r="K404" s="605" t="s">
        <v>334</v>
      </c>
      <c r="L404" s="605" t="s">
        <v>335</v>
      </c>
      <c r="M404" s="607">
        <v>0.1</v>
      </c>
      <c r="N404" s="605"/>
      <c r="O404" s="606"/>
      <c r="P404" s="606"/>
      <c r="XDO404" s="539"/>
      <c r="XDP404" s="539"/>
      <c r="XDQ404" s="539"/>
      <c r="XDR404" s="539"/>
      <c r="XDS404" s="539"/>
      <c r="XDY404" s="539"/>
      <c r="XDZ404" s="539"/>
      <c r="XEA404" s="539"/>
      <c r="XEB404" s="539"/>
      <c r="XEC404" s="539"/>
      <c r="XED404" s="539"/>
      <c r="XEE404" s="539"/>
      <c r="XEF404" s="539"/>
      <c r="XEG404" s="539"/>
    </row>
    <row r="405" ht="15.95" customHeight="1" spans="1:16361">
      <c r="A405" s="123" t="s">
        <v>337</v>
      </c>
      <c r="B405" s="406" t="s">
        <v>338</v>
      </c>
      <c r="C405" s="123" t="s">
        <v>248</v>
      </c>
      <c r="D405" s="596"/>
      <c r="E405" s="596"/>
      <c r="F405" s="597">
        <v>128573.1795704</v>
      </c>
      <c r="G405" s="298"/>
      <c r="H405" s="425"/>
      <c r="I405" s="426">
        <f>SUM(I406:I407)</f>
        <v>126398.32</v>
      </c>
      <c r="J405" s="437">
        <f t="shared" si="54"/>
        <v>0</v>
      </c>
      <c r="K405" s="605" t="s">
        <v>337</v>
      </c>
      <c r="L405" s="605" t="s">
        <v>338</v>
      </c>
      <c r="M405" s="605" t="s">
        <v>248</v>
      </c>
      <c r="N405" s="605"/>
      <c r="O405" s="606"/>
      <c r="P405" s="606"/>
      <c r="XDO405" s="539"/>
      <c r="XDP405" s="539"/>
      <c r="XDQ405" s="539"/>
      <c r="XDR405" s="539"/>
      <c r="XDS405" s="539"/>
      <c r="XDY405" s="539"/>
      <c r="XDZ405" s="539"/>
      <c r="XEA405" s="539"/>
      <c r="XEB405" s="539"/>
      <c r="XEC405" s="539"/>
      <c r="XED405" s="539"/>
      <c r="XEE405" s="539"/>
      <c r="XEF405" s="539"/>
      <c r="XEG405" s="539"/>
    </row>
    <row r="406" ht="15.95" customHeight="1" spans="1:16361">
      <c r="A406" s="123" t="s">
        <v>248</v>
      </c>
      <c r="B406" s="406" t="s">
        <v>339</v>
      </c>
      <c r="C406" s="123" t="s">
        <v>169</v>
      </c>
      <c r="D406" s="596">
        <v>19198.6232</v>
      </c>
      <c r="E406" s="596">
        <v>3.98</v>
      </c>
      <c r="F406" s="597">
        <v>76410.520336</v>
      </c>
      <c r="G406" s="298">
        <v>18874</v>
      </c>
      <c r="H406" s="425">
        <v>3.98</v>
      </c>
      <c r="I406" s="426">
        <f t="shared" ref="I406:I410" si="57">G406*H406</f>
        <v>75118.52</v>
      </c>
      <c r="J406" s="437">
        <f t="shared" si="54"/>
        <v>75118.52</v>
      </c>
      <c r="K406" s="605" t="s">
        <v>248</v>
      </c>
      <c r="L406" s="605" t="s">
        <v>339</v>
      </c>
      <c r="M406" s="605" t="s">
        <v>341</v>
      </c>
      <c r="N406" s="606">
        <v>18323.85</v>
      </c>
      <c r="O406" s="606">
        <v>1.03</v>
      </c>
      <c r="P406" s="606">
        <v>18873.5655</v>
      </c>
      <c r="XDO406" s="539"/>
      <c r="XDP406" s="539"/>
      <c r="XDQ406" s="539"/>
      <c r="XDR406" s="539"/>
      <c r="XDS406" s="539"/>
      <c r="XDY406" s="539"/>
      <c r="XDZ406" s="539"/>
      <c r="XEA406" s="539"/>
      <c r="XEB406" s="539"/>
      <c r="XEC406" s="539"/>
      <c r="XED406" s="539"/>
      <c r="XEE406" s="539"/>
      <c r="XEF406" s="539"/>
      <c r="XEG406" s="539"/>
    </row>
    <row r="407" ht="15.95" customHeight="1" spans="1:16361">
      <c r="A407" s="123" t="s">
        <v>248</v>
      </c>
      <c r="B407" s="406" t="s">
        <v>340</v>
      </c>
      <c r="C407" s="123" t="s">
        <v>169</v>
      </c>
      <c r="D407" s="596">
        <v>18238.69204</v>
      </c>
      <c r="E407" s="596">
        <v>2.86</v>
      </c>
      <c r="F407" s="597">
        <v>52162.6592344</v>
      </c>
      <c r="G407" s="298">
        <v>17930</v>
      </c>
      <c r="H407" s="425">
        <v>2.86</v>
      </c>
      <c r="I407" s="426">
        <f t="shared" si="57"/>
        <v>51279.8</v>
      </c>
      <c r="J407" s="437">
        <f t="shared" si="54"/>
        <v>51279.8</v>
      </c>
      <c r="K407" s="605" t="s">
        <v>248</v>
      </c>
      <c r="L407" s="605" t="s">
        <v>340</v>
      </c>
      <c r="M407" s="605" t="s">
        <v>341</v>
      </c>
      <c r="N407" s="606">
        <v>17407.6575</v>
      </c>
      <c r="O407" s="606">
        <v>1.03</v>
      </c>
      <c r="P407" s="606">
        <v>17929.887225</v>
      </c>
      <c r="XDO407" s="539"/>
      <c r="XDP407" s="539"/>
      <c r="XDQ407" s="539"/>
      <c r="XDR407" s="539"/>
      <c r="XDS407" s="539"/>
      <c r="XDY407" s="539"/>
      <c r="XDZ407" s="539"/>
      <c r="XEA407" s="539"/>
      <c r="XEB407" s="539"/>
      <c r="XEC407" s="539"/>
      <c r="XED407" s="539"/>
      <c r="XEE407" s="539"/>
      <c r="XEF407" s="539"/>
      <c r="XEG407" s="539"/>
    </row>
    <row r="408" ht="15.95" customHeight="1" spans="1:16361">
      <c r="A408" s="123" t="s">
        <v>342</v>
      </c>
      <c r="B408" s="406" t="s">
        <v>343</v>
      </c>
      <c r="C408" s="123"/>
      <c r="D408" s="596"/>
      <c r="E408" s="596"/>
      <c r="F408" s="597">
        <v>32000</v>
      </c>
      <c r="G408" s="298"/>
      <c r="H408" s="425"/>
      <c r="I408" s="426">
        <f>SUM(I409:I410)</f>
        <v>29400</v>
      </c>
      <c r="J408" s="437">
        <f t="shared" si="54"/>
        <v>0</v>
      </c>
      <c r="K408" s="605" t="s">
        <v>342</v>
      </c>
      <c r="L408" s="605" t="s">
        <v>343</v>
      </c>
      <c r="M408" s="605"/>
      <c r="N408" s="605"/>
      <c r="O408" s="606"/>
      <c r="P408" s="606"/>
      <c r="XDO408" s="539"/>
      <c r="XDP408" s="539"/>
      <c r="XDQ408" s="539"/>
      <c r="XDR408" s="539"/>
      <c r="XDS408" s="539"/>
      <c r="XDY408" s="539"/>
      <c r="XDZ408" s="539"/>
      <c r="XEA408" s="539"/>
      <c r="XEB408" s="539"/>
      <c r="XEC408" s="539"/>
      <c r="XED408" s="539"/>
      <c r="XEE408" s="539"/>
      <c r="XEF408" s="539"/>
      <c r="XEG408" s="539"/>
    </row>
    <row r="409" ht="21.75" customHeight="1" spans="1:16361">
      <c r="A409" s="123" t="s">
        <v>248</v>
      </c>
      <c r="B409" s="406" t="s">
        <v>344</v>
      </c>
      <c r="C409" s="123" t="s">
        <v>193</v>
      </c>
      <c r="D409" s="596">
        <v>20</v>
      </c>
      <c r="E409" s="596">
        <v>650</v>
      </c>
      <c r="F409" s="597">
        <v>13000</v>
      </c>
      <c r="G409" s="298">
        <v>21</v>
      </c>
      <c r="H409" s="425">
        <v>650</v>
      </c>
      <c r="I409" s="426">
        <f t="shared" si="57"/>
        <v>13650</v>
      </c>
      <c r="J409" s="437">
        <f t="shared" si="54"/>
        <v>13650</v>
      </c>
      <c r="K409" s="605" t="s">
        <v>248</v>
      </c>
      <c r="L409" s="605" t="s">
        <v>344</v>
      </c>
      <c r="M409" s="605" t="s">
        <v>193</v>
      </c>
      <c r="N409" s="605">
        <v>21</v>
      </c>
      <c r="O409" s="606">
        <v>1</v>
      </c>
      <c r="P409" s="606">
        <v>21</v>
      </c>
      <c r="XDO409" s="539"/>
      <c r="XDP409" s="539"/>
      <c r="XDQ409" s="539"/>
      <c r="XDR409" s="539"/>
      <c r="XDS409" s="539"/>
      <c r="XDY409" s="539"/>
      <c r="XDZ409" s="539"/>
      <c r="XEA409" s="539"/>
      <c r="XEB409" s="539"/>
      <c r="XEC409" s="539"/>
      <c r="XED409" s="539"/>
      <c r="XEE409" s="539"/>
      <c r="XEF409" s="539"/>
      <c r="XEG409" s="539"/>
    </row>
    <row r="410" ht="15.95" customHeight="1" spans="1:16361">
      <c r="A410" s="123" t="s">
        <v>248</v>
      </c>
      <c r="B410" s="406" t="s">
        <v>400</v>
      </c>
      <c r="C410" s="123" t="s">
        <v>305</v>
      </c>
      <c r="D410" s="596">
        <v>20</v>
      </c>
      <c r="E410" s="596">
        <v>950</v>
      </c>
      <c r="F410" s="597">
        <v>19000</v>
      </c>
      <c r="G410" s="298">
        <f>G409</f>
        <v>21</v>
      </c>
      <c r="H410" s="554">
        <v>750</v>
      </c>
      <c r="I410" s="426">
        <f t="shared" si="57"/>
        <v>15750</v>
      </c>
      <c r="J410" s="437">
        <f t="shared" si="54"/>
        <v>15750</v>
      </c>
      <c r="K410" s="605" t="s">
        <v>248</v>
      </c>
      <c r="L410" s="605" t="s">
        <v>400</v>
      </c>
      <c r="M410" s="605" t="s">
        <v>305</v>
      </c>
      <c r="N410" s="605">
        <v>21</v>
      </c>
      <c r="O410" s="606">
        <v>1</v>
      </c>
      <c r="P410" s="606">
        <v>21</v>
      </c>
      <c r="XDO410" s="539"/>
      <c r="XDP410" s="539"/>
      <c r="XDQ410" s="539"/>
      <c r="XDR410" s="539"/>
      <c r="XDS410" s="539"/>
      <c r="XDY410" s="539"/>
      <c r="XDZ410" s="539"/>
      <c r="XEA410" s="539"/>
      <c r="XEB410" s="539"/>
      <c r="XEC410" s="539"/>
      <c r="XED410" s="539"/>
      <c r="XEE410" s="539"/>
      <c r="XEF410" s="539"/>
      <c r="XEG410" s="539"/>
    </row>
    <row r="411" ht="15.95" customHeight="1" spans="1:16361">
      <c r="A411" s="485" t="s">
        <v>346</v>
      </c>
      <c r="B411" s="406" t="s">
        <v>347</v>
      </c>
      <c r="C411" s="123" t="s">
        <v>193</v>
      </c>
      <c r="D411" s="596">
        <v>3</v>
      </c>
      <c r="E411" s="596"/>
      <c r="F411" s="597">
        <v>37427.625</v>
      </c>
      <c r="G411" s="298">
        <v>3</v>
      </c>
      <c r="H411" s="425"/>
      <c r="I411" s="426">
        <f>I412</f>
        <v>31896.525</v>
      </c>
      <c r="J411" s="437">
        <f t="shared" si="54"/>
        <v>0</v>
      </c>
      <c r="K411" s="608" t="s">
        <v>346</v>
      </c>
      <c r="L411" s="605" t="s">
        <v>347</v>
      </c>
      <c r="M411" s="605" t="s">
        <v>193</v>
      </c>
      <c r="N411" s="605">
        <v>3</v>
      </c>
      <c r="O411" s="606"/>
      <c r="P411" s="606"/>
      <c r="XDO411" s="539"/>
      <c r="XDP411" s="539"/>
      <c r="XDQ411" s="539"/>
      <c r="XDR411" s="539"/>
      <c r="XDS411" s="539"/>
      <c r="XDY411" s="539"/>
      <c r="XDZ411" s="539"/>
      <c r="XEA411" s="539"/>
      <c r="XEB411" s="539"/>
      <c r="XEC411" s="539"/>
      <c r="XED411" s="539"/>
      <c r="XEE411" s="539"/>
      <c r="XEF411" s="539"/>
      <c r="XEG411" s="539"/>
    </row>
    <row r="412" ht="15.95" customHeight="1" spans="1:16361">
      <c r="A412" s="123" t="s">
        <v>248</v>
      </c>
      <c r="B412" s="406" t="s">
        <v>401</v>
      </c>
      <c r="C412" s="123" t="s">
        <v>167</v>
      </c>
      <c r="D412" s="596">
        <v>154.5</v>
      </c>
      <c r="E412" s="596">
        <v>242.25</v>
      </c>
      <c r="F412" s="597">
        <v>37427.625</v>
      </c>
      <c r="G412" s="298">
        <v>154.5</v>
      </c>
      <c r="H412" s="425">
        <f>管材!G42+150</f>
        <v>206.45</v>
      </c>
      <c r="I412" s="426">
        <f>G412*H412</f>
        <v>31896.525</v>
      </c>
      <c r="J412" s="437">
        <f t="shared" si="54"/>
        <v>31896.525</v>
      </c>
      <c r="K412" s="605" t="s">
        <v>248</v>
      </c>
      <c r="L412" s="605" t="s">
        <v>402</v>
      </c>
      <c r="M412" s="605" t="s">
        <v>167</v>
      </c>
      <c r="N412" s="605">
        <v>150</v>
      </c>
      <c r="O412" s="606">
        <v>1.03</v>
      </c>
      <c r="P412" s="606">
        <v>154.5</v>
      </c>
      <c r="XDO412" s="539"/>
      <c r="XDP412" s="539"/>
      <c r="XDQ412" s="539"/>
      <c r="XDR412" s="539"/>
      <c r="XDS412" s="539"/>
      <c r="XDY412" s="539"/>
      <c r="XDZ412" s="539"/>
      <c r="XEA412" s="539"/>
      <c r="XEB412" s="539"/>
      <c r="XEC412" s="539"/>
      <c r="XED412" s="539"/>
      <c r="XEE412" s="539"/>
      <c r="XEF412" s="539"/>
      <c r="XEG412" s="539"/>
    </row>
    <row r="413" ht="15.95" customHeight="1" spans="1:16361">
      <c r="A413" s="123" t="s">
        <v>403</v>
      </c>
      <c r="B413" s="406" t="s">
        <v>350</v>
      </c>
      <c r="C413" s="123" t="s">
        <v>248</v>
      </c>
      <c r="D413" s="596"/>
      <c r="E413" s="596"/>
      <c r="F413" s="597">
        <v>316002.680130342</v>
      </c>
      <c r="G413" s="298"/>
      <c r="H413" s="425"/>
      <c r="I413" s="426">
        <f>I414+I421+I422+I425</f>
        <v>286522.326</v>
      </c>
      <c r="J413" s="437">
        <f t="shared" si="54"/>
        <v>0</v>
      </c>
      <c r="K413" s="605">
        <v>2</v>
      </c>
      <c r="L413" s="605" t="s">
        <v>350</v>
      </c>
      <c r="M413" s="605" t="s">
        <v>248</v>
      </c>
      <c r="N413" s="605"/>
      <c r="O413" s="606"/>
      <c r="P413" s="606"/>
      <c r="XDO413" s="539"/>
      <c r="XDP413" s="539"/>
      <c r="XDQ413" s="539"/>
      <c r="XDR413" s="539"/>
      <c r="XDS413" s="539"/>
      <c r="XDY413" s="539"/>
      <c r="XDZ413" s="539"/>
      <c r="XEA413" s="539"/>
      <c r="XEB413" s="539"/>
      <c r="XEC413" s="539"/>
      <c r="XED413" s="539"/>
      <c r="XEE413" s="539"/>
      <c r="XEF413" s="539"/>
      <c r="XEG413" s="539"/>
    </row>
    <row r="414" ht="15.95" customHeight="1" spans="1:16361">
      <c r="A414" s="123" t="s">
        <v>329</v>
      </c>
      <c r="B414" s="406" t="s">
        <v>330</v>
      </c>
      <c r="C414" s="123"/>
      <c r="D414" s="596"/>
      <c r="E414" s="596"/>
      <c r="F414" s="597">
        <v>203601.12</v>
      </c>
      <c r="G414" s="298"/>
      <c r="H414" s="425"/>
      <c r="I414" s="426">
        <f>SUM(I415:I420)</f>
        <v>168842.56</v>
      </c>
      <c r="J414" s="437">
        <f t="shared" si="54"/>
        <v>0</v>
      </c>
      <c r="K414" s="605" t="s">
        <v>329</v>
      </c>
      <c r="L414" s="605" t="s">
        <v>330</v>
      </c>
      <c r="M414" s="605" t="s">
        <v>248</v>
      </c>
      <c r="N414" s="605"/>
      <c r="O414" s="606"/>
      <c r="P414" s="606"/>
      <c r="XDO414" s="539"/>
      <c r="XDP414" s="539"/>
      <c r="XDQ414" s="539"/>
      <c r="XDR414" s="539"/>
      <c r="XDS414" s="539"/>
      <c r="XDY414" s="539"/>
      <c r="XDZ414" s="539"/>
      <c r="XEA414" s="539"/>
      <c r="XEB414" s="539"/>
      <c r="XEC414" s="539"/>
      <c r="XED414" s="539"/>
      <c r="XEE414" s="539"/>
      <c r="XEF414" s="539"/>
      <c r="XEG414" s="539"/>
    </row>
    <row r="415" ht="15.95" customHeight="1" spans="1:16361">
      <c r="A415" s="123"/>
      <c r="B415" s="406" t="s">
        <v>404</v>
      </c>
      <c r="C415" s="123" t="s">
        <v>167</v>
      </c>
      <c r="D415" s="596">
        <v>5642</v>
      </c>
      <c r="E415" s="596">
        <v>21.31</v>
      </c>
      <c r="F415" s="597">
        <v>120231.02</v>
      </c>
      <c r="G415" s="298">
        <v>2657</v>
      </c>
      <c r="H415" s="425">
        <f>管材!L14</f>
        <v>21.31</v>
      </c>
      <c r="I415" s="426">
        <f t="shared" ref="I415:I421" si="58">G415*H415</f>
        <v>56620.67</v>
      </c>
      <c r="J415" s="437">
        <f t="shared" si="54"/>
        <v>56620.67</v>
      </c>
      <c r="K415" s="605"/>
      <c r="L415" s="605" t="s">
        <v>404</v>
      </c>
      <c r="M415" s="605" t="s">
        <v>167</v>
      </c>
      <c r="N415" s="606">
        <v>2580</v>
      </c>
      <c r="O415" s="606">
        <v>1.03</v>
      </c>
      <c r="P415" s="606">
        <v>2657.4</v>
      </c>
      <c r="XDO415" s="539"/>
      <c r="XDP415" s="539"/>
      <c r="XDQ415" s="539"/>
      <c r="XDR415" s="539"/>
      <c r="XDS415" s="539"/>
      <c r="XDY415" s="539"/>
      <c r="XDZ415" s="539"/>
      <c r="XEA415" s="539"/>
      <c r="XEB415" s="539"/>
      <c r="XEC415" s="539"/>
      <c r="XED415" s="539"/>
      <c r="XEE415" s="539"/>
      <c r="XEF415" s="539"/>
      <c r="XEG415" s="539"/>
    </row>
    <row r="416" ht="15.95" customHeight="1" spans="1:16361">
      <c r="A416" s="123"/>
      <c r="B416" s="406" t="s">
        <v>352</v>
      </c>
      <c r="C416" s="123" t="s">
        <v>167</v>
      </c>
      <c r="D416" s="596">
        <v>4505</v>
      </c>
      <c r="E416" s="596">
        <v>9.47</v>
      </c>
      <c r="F416" s="597">
        <v>42662.35</v>
      </c>
      <c r="G416" s="298">
        <v>4532</v>
      </c>
      <c r="H416" s="425">
        <f>管材!L11</f>
        <v>9.47</v>
      </c>
      <c r="I416" s="426">
        <f t="shared" si="58"/>
        <v>42918.04</v>
      </c>
      <c r="J416" s="437">
        <f t="shared" si="54"/>
        <v>42918.04</v>
      </c>
      <c r="K416" s="605"/>
      <c r="L416" s="605" t="s">
        <v>352</v>
      </c>
      <c r="M416" s="605" t="s">
        <v>167</v>
      </c>
      <c r="N416" s="606">
        <v>4400.73</v>
      </c>
      <c r="O416" s="606">
        <v>1.03</v>
      </c>
      <c r="P416" s="606">
        <v>4532.7519</v>
      </c>
      <c r="XDO416" s="539"/>
      <c r="XDP416" s="539"/>
      <c r="XDQ416" s="539"/>
      <c r="XDR416" s="539"/>
      <c r="XDS416" s="539"/>
      <c r="XDY416" s="539"/>
      <c r="XDZ416" s="539"/>
      <c r="XEA416" s="539"/>
      <c r="XEB416" s="539"/>
      <c r="XEC416" s="539"/>
      <c r="XED416" s="539"/>
      <c r="XEE416" s="539"/>
      <c r="XEF416" s="539"/>
      <c r="XEG416" s="539"/>
    </row>
    <row r="417" ht="15.95" customHeight="1" spans="1:16361">
      <c r="A417" s="123"/>
      <c r="B417" s="406" t="s">
        <v>353</v>
      </c>
      <c r="C417" s="123" t="s">
        <v>167</v>
      </c>
      <c r="D417" s="596">
        <v>4505</v>
      </c>
      <c r="E417" s="596">
        <v>9.47</v>
      </c>
      <c r="F417" s="597">
        <v>42662.35</v>
      </c>
      <c r="G417" s="298">
        <v>2570</v>
      </c>
      <c r="H417" s="425">
        <f>管材!L12</f>
        <v>13.61</v>
      </c>
      <c r="I417" s="426">
        <f t="shared" si="58"/>
        <v>34977.7</v>
      </c>
      <c r="J417" s="437">
        <f t="shared" si="54"/>
        <v>34977.7</v>
      </c>
      <c r="K417" s="605"/>
      <c r="L417" s="605"/>
      <c r="M417" s="605"/>
      <c r="N417" s="606"/>
      <c r="O417" s="606"/>
      <c r="P417" s="606"/>
      <c r="XDO417" s="539"/>
      <c r="XDP417" s="539"/>
      <c r="XDQ417" s="539"/>
      <c r="XDR417" s="539"/>
      <c r="XDS417" s="539"/>
      <c r="XDY417" s="539"/>
      <c r="XDZ417" s="539"/>
      <c r="XEA417" s="539"/>
      <c r="XEB417" s="539"/>
      <c r="XEC417" s="539"/>
      <c r="XED417" s="539"/>
      <c r="XEE417" s="539"/>
      <c r="XEF417" s="539"/>
      <c r="XEG417" s="539"/>
    </row>
    <row r="418" ht="15.95" customHeight="1" spans="1:16361">
      <c r="A418" s="123"/>
      <c r="B418" s="406" t="s">
        <v>354</v>
      </c>
      <c r="C418" s="123" t="s">
        <v>167</v>
      </c>
      <c r="D418" s="596">
        <v>45</v>
      </c>
      <c r="E418" s="596">
        <v>21.31</v>
      </c>
      <c r="F418" s="597">
        <v>958.95</v>
      </c>
      <c r="G418" s="298">
        <v>35</v>
      </c>
      <c r="H418" s="425">
        <f>H415</f>
        <v>21.31</v>
      </c>
      <c r="I418" s="426">
        <f t="shared" si="58"/>
        <v>745.85</v>
      </c>
      <c r="J418" s="437">
        <f t="shared" ref="J418:J481" si="59">G418*H418</f>
        <v>745.85</v>
      </c>
      <c r="K418" s="605"/>
      <c r="L418" s="605" t="s">
        <v>353</v>
      </c>
      <c r="M418" s="605" t="s">
        <v>167</v>
      </c>
      <c r="N418" s="606">
        <v>2495</v>
      </c>
      <c r="O418" s="606">
        <v>1.03</v>
      </c>
      <c r="P418" s="606">
        <v>2569.85</v>
      </c>
      <c r="XDO418" s="539"/>
      <c r="XDP418" s="539"/>
      <c r="XDQ418" s="539"/>
      <c r="XDR418" s="539"/>
      <c r="XDS418" s="539"/>
      <c r="XDY418" s="539"/>
      <c r="XDZ418" s="539"/>
      <c r="XEA418" s="539"/>
      <c r="XEB418" s="539"/>
      <c r="XEC418" s="539"/>
      <c r="XED418" s="539"/>
      <c r="XEE418" s="539"/>
      <c r="XEF418" s="539"/>
      <c r="XEG418" s="539"/>
    </row>
    <row r="419" ht="15.95" customHeight="1" spans="1:16361">
      <c r="A419" s="598"/>
      <c r="B419" s="599" t="s">
        <v>355</v>
      </c>
      <c r="C419" s="598" t="s">
        <v>167</v>
      </c>
      <c r="D419" s="600"/>
      <c r="E419" s="600"/>
      <c r="F419" s="601"/>
      <c r="G419" s="602">
        <f>G416+G417</f>
        <v>7102</v>
      </c>
      <c r="H419" s="603">
        <v>3.25</v>
      </c>
      <c r="I419" s="609">
        <f t="shared" si="58"/>
        <v>23081.5</v>
      </c>
      <c r="J419" s="437">
        <f t="shared" si="59"/>
        <v>23081.5</v>
      </c>
      <c r="K419" s="605"/>
      <c r="L419" s="605" t="s">
        <v>354</v>
      </c>
      <c r="M419" s="605" t="s">
        <v>167</v>
      </c>
      <c r="N419" s="606">
        <v>34</v>
      </c>
      <c r="O419" s="606">
        <v>1.03</v>
      </c>
      <c r="P419" s="606">
        <v>35.02</v>
      </c>
      <c r="XDO419" s="539"/>
      <c r="XDP419" s="539"/>
      <c r="XDQ419" s="539"/>
      <c r="XDR419" s="539"/>
      <c r="XDS419" s="539"/>
      <c r="XDY419" s="539"/>
      <c r="XDZ419" s="539"/>
      <c r="XEA419" s="539"/>
      <c r="XEB419" s="539"/>
      <c r="XEC419" s="539"/>
      <c r="XED419" s="539"/>
      <c r="XEE419" s="539"/>
      <c r="XEF419" s="539"/>
      <c r="XEG419" s="539"/>
    </row>
    <row r="420" ht="15.95" customHeight="1" spans="1:16361">
      <c r="A420" s="598"/>
      <c r="B420" s="599" t="s">
        <v>405</v>
      </c>
      <c r="C420" s="598" t="s">
        <v>167</v>
      </c>
      <c r="D420" s="600">
        <v>10192</v>
      </c>
      <c r="E420" s="600">
        <v>3.9</v>
      </c>
      <c r="F420" s="601">
        <v>39748.8</v>
      </c>
      <c r="G420" s="602">
        <f>G415+G418</f>
        <v>2692</v>
      </c>
      <c r="H420" s="603">
        <v>3.9</v>
      </c>
      <c r="I420" s="609">
        <f t="shared" si="58"/>
        <v>10498.8</v>
      </c>
      <c r="J420" s="437">
        <f t="shared" si="59"/>
        <v>10498.8</v>
      </c>
      <c r="K420" s="605"/>
      <c r="L420" s="605" t="s">
        <v>358</v>
      </c>
      <c r="M420" s="605" t="s">
        <v>167</v>
      </c>
      <c r="N420" s="606">
        <v>9509.73</v>
      </c>
      <c r="O420" s="606">
        <v>1.03</v>
      </c>
      <c r="P420" s="606">
        <v>9795.0219</v>
      </c>
      <c r="XDO420" s="539"/>
      <c r="XDP420" s="539"/>
      <c r="XDQ420" s="539"/>
      <c r="XDR420" s="539"/>
      <c r="XDS420" s="539"/>
      <c r="XDY420" s="539"/>
      <c r="XDZ420" s="539"/>
      <c r="XEA420" s="539"/>
      <c r="XEB420" s="539"/>
      <c r="XEC420" s="539"/>
      <c r="XED420" s="539"/>
      <c r="XEE420" s="539"/>
      <c r="XEF420" s="539"/>
      <c r="XEG420" s="539"/>
    </row>
    <row r="421" ht="15.95" customHeight="1" spans="1:16361">
      <c r="A421" s="486">
        <v>-2</v>
      </c>
      <c r="B421" s="406" t="s">
        <v>357</v>
      </c>
      <c r="C421" s="484" t="s">
        <v>336</v>
      </c>
      <c r="D421" s="596">
        <v>0.1</v>
      </c>
      <c r="E421" s="596">
        <v>163852.32</v>
      </c>
      <c r="F421" s="597">
        <v>16385.232</v>
      </c>
      <c r="G421" s="484">
        <v>0.1</v>
      </c>
      <c r="H421" s="425">
        <f>I415+I416+I417+I418</f>
        <v>135262.26</v>
      </c>
      <c r="I421" s="426">
        <f t="shared" si="58"/>
        <v>13526.226</v>
      </c>
      <c r="J421" s="437">
        <f t="shared" si="59"/>
        <v>13526.226</v>
      </c>
      <c r="K421" s="605" t="s">
        <v>334</v>
      </c>
      <c r="L421" s="605" t="s">
        <v>335</v>
      </c>
      <c r="M421" s="607">
        <v>0.1</v>
      </c>
      <c r="N421" s="605"/>
      <c r="O421" s="606"/>
      <c r="P421" s="606"/>
      <c r="XDO421" s="539"/>
      <c r="XDP421" s="539"/>
      <c r="XDQ421" s="539"/>
      <c r="XDR421" s="539"/>
      <c r="XDS421" s="539"/>
      <c r="XDY421" s="539"/>
      <c r="XDZ421" s="539"/>
      <c r="XEA421" s="539"/>
      <c r="XEB421" s="539"/>
      <c r="XEC421" s="539"/>
      <c r="XED421" s="539"/>
      <c r="XEE421" s="539"/>
      <c r="XEF421" s="539"/>
      <c r="XEG421" s="539"/>
    </row>
    <row r="422" ht="15.95" customHeight="1" spans="1:16361">
      <c r="A422" s="123" t="s">
        <v>337</v>
      </c>
      <c r="B422" s="406" t="s">
        <v>338</v>
      </c>
      <c r="C422" s="123" t="s">
        <v>248</v>
      </c>
      <c r="D422" s="596"/>
      <c r="E422" s="596"/>
      <c r="F422" s="597">
        <v>47836.3281303425</v>
      </c>
      <c r="G422" s="298"/>
      <c r="H422" s="425"/>
      <c r="I422" s="426">
        <f>SUM(I423:I424)</f>
        <v>45673.54</v>
      </c>
      <c r="J422" s="437">
        <f t="shared" si="59"/>
        <v>0</v>
      </c>
      <c r="K422" s="605" t="s">
        <v>337</v>
      </c>
      <c r="L422" s="605" t="s">
        <v>338</v>
      </c>
      <c r="M422" s="605" t="s">
        <v>248</v>
      </c>
      <c r="N422" s="605"/>
      <c r="O422" s="606"/>
      <c r="P422" s="606"/>
      <c r="XDO422" s="539"/>
      <c r="XDP422" s="539"/>
      <c r="XDQ422" s="539"/>
      <c r="XDR422" s="539"/>
      <c r="XDS422" s="539"/>
      <c r="XDY422" s="539"/>
      <c r="XDZ422" s="539"/>
      <c r="XEA422" s="539"/>
      <c r="XEB422" s="539"/>
      <c r="XEC422" s="539"/>
      <c r="XED422" s="539"/>
      <c r="XEE422" s="539"/>
      <c r="XEF422" s="539"/>
      <c r="XEG422" s="539"/>
    </row>
    <row r="423" ht="15.95" customHeight="1" spans="1:16361">
      <c r="A423" s="123" t="s">
        <v>248</v>
      </c>
      <c r="B423" s="406" t="s">
        <v>339</v>
      </c>
      <c r="C423" s="123" t="s">
        <v>169</v>
      </c>
      <c r="D423" s="596">
        <v>7142.9488025</v>
      </c>
      <c r="E423" s="596">
        <v>3.98</v>
      </c>
      <c r="F423" s="597">
        <v>28428.93623395</v>
      </c>
      <c r="G423" s="298">
        <v>6820</v>
      </c>
      <c r="H423" s="425">
        <v>3.98</v>
      </c>
      <c r="I423" s="426">
        <f t="shared" ref="I423:I428" si="60">G423*H423</f>
        <v>27143.6</v>
      </c>
      <c r="J423" s="437">
        <f t="shared" si="59"/>
        <v>27143.6</v>
      </c>
      <c r="K423" s="605" t="s">
        <v>248</v>
      </c>
      <c r="L423" s="605" t="s">
        <v>339</v>
      </c>
      <c r="M423" s="605" t="s">
        <v>341</v>
      </c>
      <c r="N423" s="606">
        <v>6621.811</v>
      </c>
      <c r="O423" s="606">
        <v>1.03</v>
      </c>
      <c r="P423" s="606">
        <v>6820.46533</v>
      </c>
      <c r="XDO423" s="539"/>
      <c r="XDP423" s="539"/>
      <c r="XDQ423" s="539"/>
      <c r="XDR423" s="539"/>
      <c r="XDS423" s="539"/>
      <c r="XDY423" s="539"/>
      <c r="XDZ423" s="539"/>
      <c r="XEA423" s="539"/>
      <c r="XEB423" s="539"/>
      <c r="XEC423" s="539"/>
      <c r="XED423" s="539"/>
      <c r="XEE423" s="539"/>
      <c r="XEF423" s="539"/>
      <c r="XEG423" s="539"/>
    </row>
    <row r="424" ht="15.95" customHeight="1" spans="1:16361">
      <c r="A424" s="123" t="s">
        <v>248</v>
      </c>
      <c r="B424" s="406" t="s">
        <v>340</v>
      </c>
      <c r="C424" s="123" t="s">
        <v>169</v>
      </c>
      <c r="D424" s="596">
        <v>6785.801362375</v>
      </c>
      <c r="E424" s="596">
        <v>2.86</v>
      </c>
      <c r="F424" s="597">
        <v>19407.3918963925</v>
      </c>
      <c r="G424" s="298">
        <v>6479</v>
      </c>
      <c r="H424" s="425">
        <v>2.86</v>
      </c>
      <c r="I424" s="426">
        <f t="shared" si="60"/>
        <v>18529.94</v>
      </c>
      <c r="J424" s="437">
        <f t="shared" si="59"/>
        <v>18529.94</v>
      </c>
      <c r="K424" s="605" t="s">
        <v>248</v>
      </c>
      <c r="L424" s="605" t="s">
        <v>340</v>
      </c>
      <c r="M424" s="605" t="s">
        <v>341</v>
      </c>
      <c r="N424" s="606">
        <v>6290.72045</v>
      </c>
      <c r="O424" s="606">
        <v>1.03</v>
      </c>
      <c r="P424" s="606">
        <v>6479.4420635</v>
      </c>
      <c r="XDO424" s="539"/>
      <c r="XDP424" s="539"/>
      <c r="XDQ424" s="539"/>
      <c r="XDR424" s="539"/>
      <c r="XDS424" s="539"/>
      <c r="XDY424" s="539"/>
      <c r="XDZ424" s="539"/>
      <c r="XEA424" s="539"/>
      <c r="XEB424" s="539"/>
      <c r="XEC424" s="539"/>
      <c r="XED424" s="539"/>
      <c r="XEE424" s="539"/>
      <c r="XEF424" s="539"/>
      <c r="XEG424" s="539"/>
    </row>
    <row r="425" ht="15.95" customHeight="1" spans="1:16361">
      <c r="A425" s="123" t="s">
        <v>342</v>
      </c>
      <c r="B425" s="406" t="s">
        <v>359</v>
      </c>
      <c r="C425" s="123"/>
      <c r="D425" s="596"/>
      <c r="E425" s="596"/>
      <c r="F425" s="597">
        <v>48180</v>
      </c>
      <c r="G425" s="484"/>
      <c r="H425" s="425"/>
      <c r="I425" s="426">
        <f>SUM(I426:I428)</f>
        <v>58480</v>
      </c>
      <c r="J425" s="437">
        <f t="shared" si="59"/>
        <v>0</v>
      </c>
      <c r="K425" s="605" t="s">
        <v>342</v>
      </c>
      <c r="L425" s="605" t="s">
        <v>359</v>
      </c>
      <c r="M425" s="605"/>
      <c r="N425" s="606"/>
      <c r="O425" s="606"/>
      <c r="P425" s="606"/>
      <c r="XDO425" s="539"/>
      <c r="XDP425" s="539"/>
      <c r="XDQ425" s="539"/>
      <c r="XDR425" s="539"/>
      <c r="XDS425" s="539"/>
      <c r="XDY425" s="539"/>
      <c r="XDZ425" s="539"/>
      <c r="XEA425" s="539"/>
      <c r="XEB425" s="539"/>
      <c r="XEC425" s="539"/>
      <c r="XED425" s="539"/>
      <c r="XEE425" s="539"/>
      <c r="XEF425" s="539"/>
      <c r="XEG425" s="539"/>
    </row>
    <row r="426" ht="15.95" customHeight="1" spans="1:16361">
      <c r="A426" s="123"/>
      <c r="B426" s="406" t="s">
        <v>360</v>
      </c>
      <c r="C426" s="123" t="s">
        <v>193</v>
      </c>
      <c r="D426" s="596">
        <v>22</v>
      </c>
      <c r="E426" s="596">
        <v>220</v>
      </c>
      <c r="F426" s="597">
        <v>4840</v>
      </c>
      <c r="G426" s="298">
        <v>17</v>
      </c>
      <c r="H426" s="425">
        <v>220</v>
      </c>
      <c r="I426" s="426">
        <f t="shared" si="60"/>
        <v>3740</v>
      </c>
      <c r="J426" s="437">
        <f t="shared" si="59"/>
        <v>3740</v>
      </c>
      <c r="K426" s="605"/>
      <c r="L426" s="605" t="s">
        <v>360</v>
      </c>
      <c r="M426" s="605" t="s">
        <v>193</v>
      </c>
      <c r="N426" s="606">
        <v>17</v>
      </c>
      <c r="O426" s="606">
        <v>1</v>
      </c>
      <c r="P426" s="606">
        <v>17</v>
      </c>
      <c r="XDO426" s="539"/>
      <c r="XDP426" s="539"/>
      <c r="XDQ426" s="539"/>
      <c r="XDR426" s="539"/>
      <c r="XDS426" s="539"/>
      <c r="XDY426" s="539"/>
      <c r="XDZ426" s="539"/>
      <c r="XEA426" s="539"/>
      <c r="XEB426" s="539"/>
      <c r="XEC426" s="539"/>
      <c r="XED426" s="539"/>
      <c r="XEE426" s="539"/>
      <c r="XEF426" s="539"/>
      <c r="XEG426" s="539"/>
    </row>
    <row r="427" ht="15.95" customHeight="1" spans="1:16361">
      <c r="A427" s="123" t="s">
        <v>248</v>
      </c>
      <c r="B427" s="406" t="s">
        <v>361</v>
      </c>
      <c r="C427" s="123" t="s">
        <v>193</v>
      </c>
      <c r="D427" s="596">
        <v>22</v>
      </c>
      <c r="E427" s="596">
        <v>220</v>
      </c>
      <c r="F427" s="597">
        <v>4840</v>
      </c>
      <c r="G427" s="298">
        <f>G426</f>
        <v>17</v>
      </c>
      <c r="H427" s="425">
        <f>H426</f>
        <v>220</v>
      </c>
      <c r="I427" s="426">
        <f t="shared" si="60"/>
        <v>3740</v>
      </c>
      <c r="J427" s="437">
        <f t="shared" si="59"/>
        <v>3740</v>
      </c>
      <c r="K427" s="605" t="s">
        <v>248</v>
      </c>
      <c r="L427" s="605" t="s">
        <v>361</v>
      </c>
      <c r="M427" s="605" t="s">
        <v>193</v>
      </c>
      <c r="N427" s="606">
        <v>17</v>
      </c>
      <c r="O427" s="606">
        <v>1</v>
      </c>
      <c r="P427" s="606">
        <v>17</v>
      </c>
      <c r="XDO427" s="539"/>
      <c r="XDP427" s="539"/>
      <c r="XDQ427" s="539"/>
      <c r="XDR427" s="539"/>
      <c r="XDS427" s="539"/>
      <c r="XDY427" s="539"/>
      <c r="XDZ427" s="539"/>
      <c r="XEA427" s="539"/>
      <c r="XEB427" s="539"/>
      <c r="XEC427" s="539"/>
      <c r="XED427" s="539"/>
      <c r="XEE427" s="539"/>
      <c r="XEF427" s="539"/>
      <c r="XEG427" s="539"/>
    </row>
    <row r="428" ht="15.95" customHeight="1" spans="1:16361">
      <c r="A428" s="123" t="s">
        <v>248</v>
      </c>
      <c r="B428" s="406" t="s">
        <v>406</v>
      </c>
      <c r="C428" s="123" t="s">
        <v>363</v>
      </c>
      <c r="D428" s="596">
        <v>11</v>
      </c>
      <c r="E428" s="596">
        <v>3500</v>
      </c>
      <c r="F428" s="597">
        <v>38500</v>
      </c>
      <c r="G428" s="298">
        <f>G427</f>
        <v>17</v>
      </c>
      <c r="H428" s="425">
        <v>3000</v>
      </c>
      <c r="I428" s="426">
        <f t="shared" si="60"/>
        <v>51000</v>
      </c>
      <c r="J428" s="437">
        <f t="shared" si="59"/>
        <v>51000</v>
      </c>
      <c r="K428" s="605" t="s">
        <v>248</v>
      </c>
      <c r="L428" s="605" t="s">
        <v>406</v>
      </c>
      <c r="M428" s="605" t="s">
        <v>363</v>
      </c>
      <c r="N428" s="606">
        <v>17</v>
      </c>
      <c r="O428" s="606">
        <v>1</v>
      </c>
      <c r="P428" s="606">
        <v>17</v>
      </c>
      <c r="XDO428" s="539"/>
      <c r="XDP428" s="539"/>
      <c r="XDQ428" s="539"/>
      <c r="XDR428" s="539"/>
      <c r="XDS428" s="539"/>
      <c r="XDY428" s="539"/>
      <c r="XDZ428" s="539"/>
      <c r="XEA428" s="539"/>
      <c r="XEB428" s="539"/>
      <c r="XEC428" s="539"/>
      <c r="XED428" s="539"/>
      <c r="XEE428" s="539"/>
      <c r="XEF428" s="539"/>
      <c r="XEG428" s="539"/>
    </row>
    <row r="429" ht="15.95" customHeight="1" spans="1:16361">
      <c r="A429" s="485" t="s">
        <v>407</v>
      </c>
      <c r="B429" s="406" t="s">
        <v>365</v>
      </c>
      <c r="C429" s="123"/>
      <c r="D429" s="596"/>
      <c r="E429" s="596"/>
      <c r="F429" s="597">
        <v>21714.329806527</v>
      </c>
      <c r="G429" s="298"/>
      <c r="H429" s="425"/>
      <c r="I429" s="426">
        <f>I430+I433+I434+I437</f>
        <v>29471.1022513159</v>
      </c>
      <c r="J429" s="437">
        <f t="shared" si="59"/>
        <v>0</v>
      </c>
      <c r="K429" s="608" t="s">
        <v>366</v>
      </c>
      <c r="L429" s="605" t="s">
        <v>365</v>
      </c>
      <c r="M429" s="605"/>
      <c r="N429" s="606"/>
      <c r="O429" s="606"/>
      <c r="P429" s="606"/>
      <c r="XDO429" s="539"/>
      <c r="XDP429" s="539"/>
      <c r="XDQ429" s="539"/>
      <c r="XDR429" s="539"/>
      <c r="XDS429" s="539"/>
      <c r="XDY429" s="539"/>
      <c r="XDZ429" s="539"/>
      <c r="XEA429" s="539"/>
      <c r="XEB429" s="539"/>
      <c r="XEC429" s="539"/>
      <c r="XED429" s="539"/>
      <c r="XEE429" s="539"/>
      <c r="XEF429" s="539"/>
      <c r="XEG429" s="539"/>
    </row>
    <row r="430" ht="15.95" customHeight="1" spans="1:16361">
      <c r="A430" s="123" t="s">
        <v>329</v>
      </c>
      <c r="B430" s="406" t="s">
        <v>330</v>
      </c>
      <c r="C430" s="123"/>
      <c r="D430" s="596"/>
      <c r="E430" s="596"/>
      <c r="F430" s="597">
        <v>731.094</v>
      </c>
      <c r="G430" s="298"/>
      <c r="H430" s="425"/>
      <c r="I430" s="426">
        <f>SUM(I431:I432)</f>
        <v>993.72</v>
      </c>
      <c r="J430" s="437">
        <f t="shared" si="59"/>
        <v>0</v>
      </c>
      <c r="K430" s="605" t="s">
        <v>329</v>
      </c>
      <c r="L430" s="605" t="s">
        <v>330</v>
      </c>
      <c r="M430" s="605" t="s">
        <v>248</v>
      </c>
      <c r="N430" s="605"/>
      <c r="O430" s="606"/>
      <c r="P430" s="606"/>
      <c r="XDO430" s="539"/>
      <c r="XDP430" s="539"/>
      <c r="XDQ430" s="539"/>
      <c r="XDR430" s="539"/>
      <c r="XDS430" s="539"/>
      <c r="XDY430" s="539"/>
      <c r="XDZ430" s="539"/>
      <c r="XEA430" s="539"/>
      <c r="XEB430" s="539"/>
      <c r="XEC430" s="539"/>
      <c r="XED430" s="539"/>
      <c r="XEE430" s="539"/>
      <c r="XEF430" s="539"/>
      <c r="XEG430" s="539"/>
    </row>
    <row r="431" ht="33.95" customHeight="1" spans="1:16361">
      <c r="A431" s="485"/>
      <c r="B431" s="487" t="s">
        <v>367</v>
      </c>
      <c r="C431" s="480" t="s">
        <v>167</v>
      </c>
      <c r="D431" s="589">
        <v>72.1</v>
      </c>
      <c r="E431" s="589">
        <v>6.89</v>
      </c>
      <c r="F431" s="590">
        <v>496.769</v>
      </c>
      <c r="G431" s="298">
        <v>98</v>
      </c>
      <c r="H431" s="425">
        <f>管材!L10</f>
        <v>6.89</v>
      </c>
      <c r="I431" s="426">
        <f t="shared" ref="I431:I433" si="61">G431*H431</f>
        <v>675.22</v>
      </c>
      <c r="J431" s="437">
        <f t="shared" si="59"/>
        <v>675.22</v>
      </c>
      <c r="K431" s="608"/>
      <c r="L431" s="605" t="s">
        <v>367</v>
      </c>
      <c r="M431" s="606" t="s">
        <v>167</v>
      </c>
      <c r="N431" s="606">
        <v>95</v>
      </c>
      <c r="O431" s="606">
        <v>1.03</v>
      </c>
      <c r="P431" s="606">
        <v>97.85</v>
      </c>
      <c r="XDO431" s="539"/>
      <c r="XDP431" s="539"/>
      <c r="XDQ431" s="539"/>
      <c r="XDR431" s="539"/>
      <c r="XDS431" s="539"/>
      <c r="XDY431" s="539"/>
      <c r="XDZ431" s="539"/>
      <c r="XEA431" s="539"/>
      <c r="XEB431" s="539"/>
      <c r="XEC431" s="539"/>
      <c r="XED431" s="539"/>
      <c r="XEE431" s="539"/>
      <c r="XEF431" s="539"/>
      <c r="XEG431" s="539"/>
    </row>
    <row r="432" ht="15.95" customHeight="1" spans="1:16361">
      <c r="A432" s="485"/>
      <c r="B432" s="487" t="s">
        <v>368</v>
      </c>
      <c r="C432" s="480" t="s">
        <v>167</v>
      </c>
      <c r="D432" s="589">
        <v>72.1</v>
      </c>
      <c r="E432" s="589">
        <v>3.25</v>
      </c>
      <c r="F432" s="590">
        <v>234.325</v>
      </c>
      <c r="G432" s="298">
        <f>G431</f>
        <v>98</v>
      </c>
      <c r="H432" s="425">
        <v>3.25</v>
      </c>
      <c r="I432" s="426">
        <f t="shared" si="61"/>
        <v>318.5</v>
      </c>
      <c r="J432" s="437">
        <f t="shared" si="59"/>
        <v>318.5</v>
      </c>
      <c r="K432" s="608"/>
      <c r="L432" s="605" t="s">
        <v>370</v>
      </c>
      <c r="M432" s="606" t="s">
        <v>167</v>
      </c>
      <c r="N432" s="606">
        <v>95</v>
      </c>
      <c r="O432" s="606">
        <v>1.03</v>
      </c>
      <c r="P432" s="606">
        <v>97.85</v>
      </c>
      <c r="XDO432" s="539"/>
      <c r="XDP432" s="539"/>
      <c r="XDQ432" s="539"/>
      <c r="XDR432" s="539"/>
      <c r="XDS432" s="539"/>
      <c r="XDY432" s="539"/>
      <c r="XDZ432" s="539"/>
      <c r="XEA432" s="539"/>
      <c r="XEB432" s="539"/>
      <c r="XEC432" s="539"/>
      <c r="XED432" s="539"/>
      <c r="XEE432" s="539"/>
      <c r="XEF432" s="539"/>
      <c r="XEG432" s="539"/>
    </row>
    <row r="433" ht="15.95" customHeight="1" spans="1:16361">
      <c r="A433" s="486">
        <v>-2</v>
      </c>
      <c r="B433" s="406" t="s">
        <v>369</v>
      </c>
      <c r="C433" s="484" t="s">
        <v>336</v>
      </c>
      <c r="D433" s="596">
        <v>0.1</v>
      </c>
      <c r="E433" s="596">
        <v>496.769</v>
      </c>
      <c r="F433" s="597">
        <v>49.6769</v>
      </c>
      <c r="G433" s="484">
        <v>0.1</v>
      </c>
      <c r="H433" s="425">
        <f>I431</f>
        <v>675.22</v>
      </c>
      <c r="I433" s="426">
        <f t="shared" si="61"/>
        <v>67.522</v>
      </c>
      <c r="J433" s="437">
        <f t="shared" si="59"/>
        <v>67.522</v>
      </c>
      <c r="K433" s="605" t="s">
        <v>334</v>
      </c>
      <c r="L433" s="605" t="s">
        <v>369</v>
      </c>
      <c r="M433" s="607">
        <v>0.1</v>
      </c>
      <c r="N433" s="606"/>
      <c r="O433" s="606"/>
      <c r="P433" s="606"/>
      <c r="XDO433" s="539"/>
      <c r="XDP433" s="539"/>
      <c r="XDQ433" s="539"/>
      <c r="XDR433" s="539"/>
      <c r="XDS433" s="539"/>
      <c r="XDY433" s="539"/>
      <c r="XDZ433" s="539"/>
      <c r="XEA433" s="539"/>
      <c r="XEB433" s="539"/>
      <c r="XEC433" s="539"/>
      <c r="XED433" s="539"/>
      <c r="XEE433" s="539"/>
      <c r="XEF433" s="539"/>
      <c r="XEG433" s="539"/>
    </row>
    <row r="434" ht="15.95" customHeight="1" spans="1:16361">
      <c r="A434" s="123" t="s">
        <v>337</v>
      </c>
      <c r="B434" s="406" t="s">
        <v>338</v>
      </c>
      <c r="C434" s="484"/>
      <c r="D434" s="596"/>
      <c r="E434" s="596"/>
      <c r="F434" s="597">
        <v>656.681032</v>
      </c>
      <c r="G434" s="484"/>
      <c r="H434" s="425"/>
      <c r="I434" s="426">
        <f>SUM(I435:I436)</f>
        <v>889.7</v>
      </c>
      <c r="J434" s="437">
        <f t="shared" si="59"/>
        <v>0</v>
      </c>
      <c r="K434" s="605" t="s">
        <v>337</v>
      </c>
      <c r="L434" s="605" t="s">
        <v>338</v>
      </c>
      <c r="M434" s="605" t="s">
        <v>248</v>
      </c>
      <c r="N434" s="605"/>
      <c r="O434" s="606"/>
      <c r="P434" s="606"/>
      <c r="XDO434" s="539"/>
      <c r="XDP434" s="539"/>
      <c r="XDQ434" s="539"/>
      <c r="XDR434" s="539"/>
      <c r="XDS434" s="539"/>
      <c r="XDY434" s="539"/>
      <c r="XDZ434" s="539"/>
      <c r="XEA434" s="539"/>
      <c r="XEB434" s="539"/>
      <c r="XEC434" s="539"/>
      <c r="XED434" s="539"/>
      <c r="XEE434" s="539"/>
      <c r="XEF434" s="539"/>
      <c r="XEG434" s="539"/>
    </row>
    <row r="435" ht="15.95" customHeight="1" spans="1:16361">
      <c r="A435" s="485"/>
      <c r="B435" s="406" t="s">
        <v>339</v>
      </c>
      <c r="C435" s="123" t="s">
        <v>307</v>
      </c>
      <c r="D435" s="596">
        <v>98.056</v>
      </c>
      <c r="E435" s="596">
        <v>3.98</v>
      </c>
      <c r="F435" s="597">
        <v>390.26288</v>
      </c>
      <c r="G435" s="298">
        <v>133</v>
      </c>
      <c r="H435" s="425">
        <f>H406</f>
        <v>3.98</v>
      </c>
      <c r="I435" s="426">
        <f t="shared" ref="I435:I443" si="62">G435*H435</f>
        <v>529.34</v>
      </c>
      <c r="J435" s="437">
        <f t="shared" si="59"/>
        <v>529.34</v>
      </c>
      <c r="K435" s="608"/>
      <c r="L435" s="605" t="s">
        <v>339</v>
      </c>
      <c r="M435" s="605" t="s">
        <v>307</v>
      </c>
      <c r="N435" s="606">
        <v>129.2</v>
      </c>
      <c r="O435" s="606">
        <v>1.03</v>
      </c>
      <c r="P435" s="606">
        <v>133.076</v>
      </c>
      <c r="XDO435" s="539"/>
      <c r="XDP435" s="539"/>
      <c r="XDQ435" s="539"/>
      <c r="XDR435" s="539"/>
      <c r="XDS435" s="539"/>
      <c r="XDY435" s="539"/>
      <c r="XDZ435" s="539"/>
      <c r="XEA435" s="539"/>
      <c r="XEB435" s="539"/>
      <c r="XEC435" s="539"/>
      <c r="XED435" s="539"/>
      <c r="XEE435" s="539"/>
      <c r="XEF435" s="539"/>
      <c r="XEG435" s="539"/>
    </row>
    <row r="436" ht="15.95" customHeight="1" spans="1:16361">
      <c r="A436" s="485"/>
      <c r="B436" s="406" t="s">
        <v>340</v>
      </c>
      <c r="C436" s="123" t="s">
        <v>307</v>
      </c>
      <c r="D436" s="596">
        <v>93.1532</v>
      </c>
      <c r="E436" s="596">
        <v>2.86</v>
      </c>
      <c r="F436" s="597">
        <v>266.418152</v>
      </c>
      <c r="G436" s="298">
        <v>126</v>
      </c>
      <c r="H436" s="425">
        <f>H407</f>
        <v>2.86</v>
      </c>
      <c r="I436" s="426">
        <f t="shared" si="62"/>
        <v>360.36</v>
      </c>
      <c r="J436" s="437">
        <f t="shared" si="59"/>
        <v>360.36</v>
      </c>
      <c r="K436" s="608"/>
      <c r="L436" s="605" t="s">
        <v>340</v>
      </c>
      <c r="M436" s="605" t="s">
        <v>307</v>
      </c>
      <c r="N436" s="606">
        <v>122.74</v>
      </c>
      <c r="O436" s="606">
        <v>1.03</v>
      </c>
      <c r="P436" s="606">
        <v>126.4222</v>
      </c>
      <c r="XDO436" s="539"/>
      <c r="XDP436" s="539"/>
      <c r="XDQ436" s="539"/>
      <c r="XDR436" s="539"/>
      <c r="XDS436" s="539"/>
      <c r="XDY436" s="539"/>
      <c r="XDZ436" s="539"/>
      <c r="XEA436" s="539"/>
      <c r="XEB436" s="539"/>
      <c r="XEC436" s="539"/>
      <c r="XED436" s="539"/>
      <c r="XEE436" s="539"/>
      <c r="XEF436" s="539"/>
      <c r="XEG436" s="539"/>
    </row>
    <row r="437" ht="15.95" customHeight="1" spans="1:16361">
      <c r="A437" s="486">
        <v>-4</v>
      </c>
      <c r="B437" s="406" t="s">
        <v>371</v>
      </c>
      <c r="C437" s="123" t="s">
        <v>193</v>
      </c>
      <c r="D437" s="596">
        <v>14</v>
      </c>
      <c r="E437" s="596"/>
      <c r="F437" s="597">
        <v>20276.877874527</v>
      </c>
      <c r="G437" s="298">
        <v>19</v>
      </c>
      <c r="H437" s="425"/>
      <c r="I437" s="426">
        <f>SUM(I438:I443)</f>
        <v>27520.1602513159</v>
      </c>
      <c r="J437" s="437">
        <f t="shared" si="59"/>
        <v>0</v>
      </c>
      <c r="K437" s="605" t="s">
        <v>342</v>
      </c>
      <c r="L437" s="605" t="s">
        <v>371</v>
      </c>
      <c r="M437" s="605" t="s">
        <v>193</v>
      </c>
      <c r="N437" s="606">
        <v>19</v>
      </c>
      <c r="O437" s="606">
        <v>1</v>
      </c>
      <c r="P437" s="606">
        <v>19</v>
      </c>
      <c r="XDO437" s="539"/>
      <c r="XDP437" s="539"/>
      <c r="XDQ437" s="539"/>
      <c r="XDR437" s="539"/>
      <c r="XDS437" s="539"/>
      <c r="XDY437" s="539"/>
      <c r="XDZ437" s="539"/>
      <c r="XEA437" s="539"/>
      <c r="XEB437" s="539"/>
      <c r="XEC437" s="539"/>
      <c r="XED437" s="539"/>
      <c r="XEE437" s="539"/>
      <c r="XEF437" s="539"/>
      <c r="XEG437" s="539"/>
    </row>
    <row r="438" ht="33" customHeight="1" spans="1:16361">
      <c r="A438" s="485" t="s">
        <v>248</v>
      </c>
      <c r="B438" s="406" t="s">
        <v>372</v>
      </c>
      <c r="C438" s="123" t="s">
        <v>305</v>
      </c>
      <c r="D438" s="596">
        <v>14</v>
      </c>
      <c r="E438" s="596">
        <v>1000</v>
      </c>
      <c r="F438" s="597">
        <v>14000</v>
      </c>
      <c r="G438" s="298">
        <f>G437</f>
        <v>19</v>
      </c>
      <c r="H438" s="425">
        <f t="shared" ref="H438:H443" si="63">H381</f>
        <v>1000</v>
      </c>
      <c r="I438" s="426">
        <f t="shared" si="62"/>
        <v>19000</v>
      </c>
      <c r="J438" s="437">
        <f t="shared" si="59"/>
        <v>19000</v>
      </c>
      <c r="K438" s="608" t="s">
        <v>248</v>
      </c>
      <c r="L438" s="605" t="s">
        <v>372</v>
      </c>
      <c r="M438" s="605" t="s">
        <v>305</v>
      </c>
      <c r="N438" s="605">
        <v>19</v>
      </c>
      <c r="O438" s="606">
        <v>1</v>
      </c>
      <c r="P438" s="606">
        <v>19</v>
      </c>
      <c r="XDO438" s="539"/>
      <c r="XDP438" s="539"/>
      <c r="XDQ438" s="539"/>
      <c r="XDR438" s="539"/>
      <c r="XDS438" s="539"/>
      <c r="XDY438" s="539"/>
      <c r="XDZ438" s="539"/>
      <c r="XEA438" s="539"/>
      <c r="XEB438" s="539"/>
      <c r="XEC438" s="539"/>
      <c r="XED438" s="539"/>
      <c r="XEE438" s="539"/>
      <c r="XEF438" s="539"/>
      <c r="XEG438" s="539"/>
    </row>
    <row r="439" ht="15.95" customHeight="1" spans="1:16361">
      <c r="A439" s="485" t="s">
        <v>248</v>
      </c>
      <c r="B439" s="406" t="s">
        <v>373</v>
      </c>
      <c r="C439" s="123" t="s">
        <v>307</v>
      </c>
      <c r="D439" s="596">
        <v>8.52</v>
      </c>
      <c r="E439" s="596">
        <v>559.323847944922</v>
      </c>
      <c r="F439" s="597">
        <v>4765.43918449073</v>
      </c>
      <c r="G439" s="298">
        <v>11.56</v>
      </c>
      <c r="H439" s="425">
        <f t="shared" si="63"/>
        <v>559.23015732759</v>
      </c>
      <c r="I439" s="426">
        <f t="shared" si="62"/>
        <v>6464.70061870694</v>
      </c>
      <c r="J439" s="437">
        <f t="shared" si="59"/>
        <v>6464.70061870694</v>
      </c>
      <c r="K439" s="608" t="s">
        <v>248</v>
      </c>
      <c r="L439" s="605" t="s">
        <v>373</v>
      </c>
      <c r="M439" s="605" t="s">
        <v>307</v>
      </c>
      <c r="N439" s="606">
        <v>11.2268188</v>
      </c>
      <c r="O439" s="606">
        <v>1.03</v>
      </c>
      <c r="P439" s="606">
        <v>11.563623364</v>
      </c>
      <c r="XDO439" s="539"/>
      <c r="XDP439" s="539"/>
      <c r="XDQ439" s="539"/>
      <c r="XDR439" s="539"/>
      <c r="XDS439" s="539"/>
      <c r="XDY439" s="539"/>
      <c r="XDZ439" s="539"/>
      <c r="XEA439" s="539"/>
      <c r="XEB439" s="539"/>
      <c r="XEC439" s="539"/>
      <c r="XED439" s="539"/>
      <c r="XEE439" s="539"/>
      <c r="XEF439" s="539"/>
      <c r="XEG439" s="539"/>
    </row>
    <row r="440" ht="15.95" customHeight="1" spans="1:16361">
      <c r="A440" s="123" t="s">
        <v>248</v>
      </c>
      <c r="B440" s="406" t="s">
        <v>374</v>
      </c>
      <c r="C440" s="123" t="s">
        <v>307</v>
      </c>
      <c r="D440" s="596">
        <v>0.82</v>
      </c>
      <c r="E440" s="596">
        <v>128.489047091908</v>
      </c>
      <c r="F440" s="597">
        <v>105.361018615365</v>
      </c>
      <c r="G440" s="298">
        <v>1.11</v>
      </c>
      <c r="H440" s="425">
        <f t="shared" si="63"/>
        <v>128.489047091908</v>
      </c>
      <c r="I440" s="426">
        <f t="shared" si="62"/>
        <v>142.622842272018</v>
      </c>
      <c r="J440" s="437">
        <f t="shared" si="59"/>
        <v>142.622842272018</v>
      </c>
      <c r="K440" s="605" t="s">
        <v>248</v>
      </c>
      <c r="L440" s="605" t="s">
        <v>374</v>
      </c>
      <c r="M440" s="605" t="s">
        <v>307</v>
      </c>
      <c r="N440" s="606">
        <v>1.07388</v>
      </c>
      <c r="O440" s="606">
        <v>1.03</v>
      </c>
      <c r="P440" s="606">
        <v>1.1060964</v>
      </c>
      <c r="XDO440" s="539"/>
      <c r="XDP440" s="539"/>
      <c r="XDQ440" s="539"/>
      <c r="XDR440" s="539"/>
      <c r="XDS440" s="539"/>
      <c r="XDY440" s="539"/>
      <c r="XDZ440" s="539"/>
      <c r="XEA440" s="539"/>
      <c r="XEB440" s="539"/>
      <c r="XEC440" s="539"/>
      <c r="XED440" s="539"/>
      <c r="XEE440" s="539"/>
      <c r="XEF440" s="539"/>
      <c r="XEG440" s="539"/>
    </row>
    <row r="441" ht="15.95" customHeight="1" spans="1:16361">
      <c r="A441" s="123" t="s">
        <v>248</v>
      </c>
      <c r="B441" s="406" t="s">
        <v>375</v>
      </c>
      <c r="C441" s="123" t="s">
        <v>305</v>
      </c>
      <c r="D441" s="596">
        <v>14</v>
      </c>
      <c r="E441" s="596">
        <v>50</v>
      </c>
      <c r="F441" s="597">
        <v>700</v>
      </c>
      <c r="G441" s="298">
        <f>G437</f>
        <v>19</v>
      </c>
      <c r="H441" s="425">
        <f t="shared" si="63"/>
        <v>50</v>
      </c>
      <c r="I441" s="426">
        <f t="shared" si="62"/>
        <v>950</v>
      </c>
      <c r="J441" s="437">
        <f t="shared" si="59"/>
        <v>950</v>
      </c>
      <c r="K441" s="605" t="s">
        <v>248</v>
      </c>
      <c r="L441" s="605" t="s">
        <v>375</v>
      </c>
      <c r="M441" s="605" t="s">
        <v>200</v>
      </c>
      <c r="N441" s="606">
        <v>1.14</v>
      </c>
      <c r="O441" s="606">
        <v>1.03</v>
      </c>
      <c r="P441" s="606">
        <v>1.1742</v>
      </c>
      <c r="XDO441" s="539"/>
      <c r="XDP441" s="539"/>
      <c r="XDQ441" s="539"/>
      <c r="XDR441" s="539"/>
      <c r="XDS441" s="539"/>
      <c r="XDY441" s="539"/>
      <c r="XDZ441" s="539"/>
      <c r="XEA441" s="539"/>
      <c r="XEB441" s="539"/>
      <c r="XEC441" s="539"/>
      <c r="XED441" s="539"/>
      <c r="XEE441" s="539"/>
      <c r="XEF441" s="539"/>
      <c r="XEG441" s="539"/>
    </row>
    <row r="442" ht="15.95" customHeight="1" spans="1:16361">
      <c r="A442" s="123" t="s">
        <v>248</v>
      </c>
      <c r="B442" s="406" t="s">
        <v>376</v>
      </c>
      <c r="C442" s="123" t="s">
        <v>307</v>
      </c>
      <c r="D442" s="596">
        <v>0.37</v>
      </c>
      <c r="E442" s="596">
        <v>583.993706543077</v>
      </c>
      <c r="F442" s="597">
        <v>216.077671420938</v>
      </c>
      <c r="G442" s="298">
        <v>0.51</v>
      </c>
      <c r="H442" s="425">
        <f t="shared" si="63"/>
        <v>583.993706543077</v>
      </c>
      <c r="I442" s="426">
        <f t="shared" si="62"/>
        <v>297.836790336969</v>
      </c>
      <c r="J442" s="437">
        <f t="shared" si="59"/>
        <v>297.836790336969</v>
      </c>
      <c r="K442" s="605" t="s">
        <v>248</v>
      </c>
      <c r="L442" s="605" t="s">
        <v>376</v>
      </c>
      <c r="M442" s="605" t="s">
        <v>307</v>
      </c>
      <c r="N442" s="606">
        <v>0.494</v>
      </c>
      <c r="O442" s="606">
        <v>1.03</v>
      </c>
      <c r="P442" s="606">
        <v>0.50882</v>
      </c>
      <c r="XDO442" s="539"/>
      <c r="XDP442" s="539"/>
      <c r="XDQ442" s="539"/>
      <c r="XDR442" s="539"/>
      <c r="XDS442" s="539"/>
      <c r="XDY442" s="539"/>
      <c r="XDZ442" s="539"/>
      <c r="XEA442" s="539"/>
      <c r="XEB442" s="539"/>
      <c r="XEC442" s="539"/>
      <c r="XED442" s="539"/>
      <c r="XEE442" s="539"/>
      <c r="XEF442" s="539"/>
      <c r="XEG442" s="539"/>
    </row>
    <row r="443" ht="15.95" customHeight="1" spans="1:16361">
      <c r="A443" s="123" t="s">
        <v>248</v>
      </c>
      <c r="B443" s="406" t="s">
        <v>377</v>
      </c>
      <c r="C443" s="123" t="s">
        <v>363</v>
      </c>
      <c r="D443" s="596">
        <v>14</v>
      </c>
      <c r="E443" s="596">
        <v>35</v>
      </c>
      <c r="F443" s="597">
        <v>490</v>
      </c>
      <c r="G443" s="298">
        <f>G437</f>
        <v>19</v>
      </c>
      <c r="H443" s="425">
        <f t="shared" si="63"/>
        <v>35</v>
      </c>
      <c r="I443" s="426">
        <f t="shared" si="62"/>
        <v>665</v>
      </c>
      <c r="J443" s="437">
        <f t="shared" si="59"/>
        <v>665</v>
      </c>
      <c r="K443" s="605" t="s">
        <v>248</v>
      </c>
      <c r="L443" s="605" t="s">
        <v>377</v>
      </c>
      <c r="M443" s="605" t="s">
        <v>363</v>
      </c>
      <c r="N443" s="605">
        <v>19</v>
      </c>
      <c r="O443" s="606">
        <v>1</v>
      </c>
      <c r="P443" s="606">
        <v>19</v>
      </c>
      <c r="XDO443" s="539"/>
      <c r="XDP443" s="539"/>
      <c r="XDQ443" s="539"/>
      <c r="XDR443" s="539"/>
      <c r="XDS443" s="539"/>
      <c r="XDY443" s="539"/>
      <c r="XDZ443" s="539"/>
      <c r="XEA443" s="539"/>
      <c r="XEB443" s="539"/>
      <c r="XEC443" s="539"/>
      <c r="XED443" s="539"/>
      <c r="XEE443" s="539"/>
      <c r="XEF443" s="539"/>
      <c r="XEG443" s="539"/>
    </row>
    <row r="444" ht="15.95" customHeight="1" spans="1:16361">
      <c r="A444" s="123" t="s">
        <v>408</v>
      </c>
      <c r="B444" s="406" t="s">
        <v>379</v>
      </c>
      <c r="C444" s="123" t="s">
        <v>248</v>
      </c>
      <c r="D444" s="596"/>
      <c r="E444" s="596"/>
      <c r="F444" s="597">
        <v>137700.354</v>
      </c>
      <c r="G444" s="298"/>
      <c r="H444" s="425"/>
      <c r="I444" s="426">
        <f>SUM(I445:I449)</f>
        <v>159411.612</v>
      </c>
      <c r="J444" s="437">
        <f t="shared" si="59"/>
        <v>0</v>
      </c>
      <c r="K444" s="605">
        <v>4</v>
      </c>
      <c r="L444" s="605" t="s">
        <v>379</v>
      </c>
      <c r="M444" s="605" t="s">
        <v>248</v>
      </c>
      <c r="N444" s="605"/>
      <c r="O444" s="606"/>
      <c r="P444" s="606"/>
      <c r="XDO444" s="539"/>
      <c r="XDP444" s="539"/>
      <c r="XDQ444" s="539"/>
      <c r="XDR444" s="539"/>
      <c r="XDS444" s="539"/>
      <c r="XDY444" s="539"/>
      <c r="XDZ444" s="539"/>
      <c r="XEA444" s="539"/>
      <c r="XEB444" s="539"/>
      <c r="XEC444" s="539"/>
      <c r="XED444" s="539"/>
      <c r="XEE444" s="539"/>
      <c r="XEF444" s="539"/>
      <c r="XEG444" s="539"/>
    </row>
    <row r="445" ht="15.95" customHeight="1" spans="1:16361">
      <c r="A445" s="123"/>
      <c r="B445" s="487" t="s">
        <v>380</v>
      </c>
      <c r="C445" s="480" t="s">
        <v>167</v>
      </c>
      <c r="D445" s="589">
        <v>11093</v>
      </c>
      <c r="E445" s="589">
        <v>9.36</v>
      </c>
      <c r="F445" s="590">
        <v>103830.48</v>
      </c>
      <c r="G445" s="298">
        <v>11899</v>
      </c>
      <c r="H445" s="425">
        <f>管材!G37</f>
        <v>9.36</v>
      </c>
      <c r="I445" s="426">
        <f t="shared" ref="I445:I449" si="64">G445*H445</f>
        <v>111374.64</v>
      </c>
      <c r="J445" s="437">
        <f t="shared" si="59"/>
        <v>111374.64</v>
      </c>
      <c r="K445" s="608"/>
      <c r="L445" s="605" t="s">
        <v>380</v>
      </c>
      <c r="M445" s="606" t="s">
        <v>167</v>
      </c>
      <c r="N445" s="606">
        <v>11552</v>
      </c>
      <c r="O445" s="606">
        <v>1.03</v>
      </c>
      <c r="P445" s="606">
        <v>11898.56</v>
      </c>
      <c r="XDO445" s="539"/>
      <c r="XDP445" s="539"/>
      <c r="XDQ445" s="539"/>
      <c r="XDR445" s="539"/>
      <c r="XDS445" s="539"/>
      <c r="XDY445" s="539"/>
      <c r="XDZ445" s="539"/>
      <c r="XEA445" s="539"/>
      <c r="XEB445" s="539"/>
      <c r="XEC445" s="539"/>
      <c r="XED445" s="539"/>
      <c r="XEE445" s="539"/>
      <c r="XEF445" s="539"/>
      <c r="XEG445" s="539"/>
    </row>
    <row r="446" ht="15.95" customHeight="1" spans="1:16361">
      <c r="A446" s="123"/>
      <c r="B446" s="406" t="s">
        <v>381</v>
      </c>
      <c r="C446" s="123" t="s">
        <v>167</v>
      </c>
      <c r="D446" s="596">
        <v>1931</v>
      </c>
      <c r="E446" s="596">
        <v>1.86</v>
      </c>
      <c r="F446" s="597">
        <v>3591.66</v>
      </c>
      <c r="G446" s="298">
        <v>2348</v>
      </c>
      <c r="H446" s="425">
        <f>管材!G33</f>
        <v>1.86</v>
      </c>
      <c r="I446" s="426">
        <f t="shared" si="64"/>
        <v>4367.28</v>
      </c>
      <c r="J446" s="437">
        <f t="shared" si="59"/>
        <v>4367.28</v>
      </c>
      <c r="K446" s="605" t="s">
        <v>248</v>
      </c>
      <c r="L446" s="605" t="s">
        <v>381</v>
      </c>
      <c r="M446" s="605" t="s">
        <v>167</v>
      </c>
      <c r="N446" s="605">
        <v>2280</v>
      </c>
      <c r="O446" s="606">
        <v>1.03</v>
      </c>
      <c r="P446" s="606">
        <v>2348.4</v>
      </c>
      <c r="XDO446" s="539"/>
      <c r="XDP446" s="539"/>
      <c r="XDQ446" s="539"/>
      <c r="XDR446" s="539"/>
      <c r="XDS446" s="539"/>
      <c r="XDY446" s="539"/>
      <c r="XDZ446" s="539"/>
      <c r="XEA446" s="539"/>
      <c r="XEB446" s="539"/>
      <c r="XEC446" s="539"/>
      <c r="XED446" s="539"/>
      <c r="XEE446" s="539"/>
      <c r="XEF446" s="539"/>
      <c r="XEG446" s="539"/>
    </row>
    <row r="447" ht="15.95" customHeight="1" spans="1:16361">
      <c r="A447" s="598"/>
      <c r="B447" s="599" t="s">
        <v>382</v>
      </c>
      <c r="C447" s="598" t="s">
        <v>167</v>
      </c>
      <c r="D447" s="600"/>
      <c r="E447" s="600"/>
      <c r="F447" s="601"/>
      <c r="G447" s="602">
        <f>G445</f>
        <v>11899</v>
      </c>
      <c r="H447" s="603">
        <f>H390</f>
        <v>2.5</v>
      </c>
      <c r="I447" s="609">
        <f t="shared" si="64"/>
        <v>29747.5</v>
      </c>
      <c r="J447" s="437">
        <f t="shared" si="59"/>
        <v>29747.5</v>
      </c>
      <c r="K447" s="605"/>
      <c r="L447" s="605" t="s">
        <v>384</v>
      </c>
      <c r="M447" s="605" t="s">
        <v>167</v>
      </c>
      <c r="N447" s="605">
        <v>13832</v>
      </c>
      <c r="O447" s="606">
        <v>1.03</v>
      </c>
      <c r="P447" s="606">
        <v>14246.96</v>
      </c>
      <c r="XDO447" s="539"/>
      <c r="XDP447" s="539"/>
      <c r="XDQ447" s="539"/>
      <c r="XDR447" s="539"/>
      <c r="XDS447" s="539"/>
      <c r="XDY447" s="539"/>
      <c r="XDZ447" s="539"/>
      <c r="XEA447" s="539"/>
      <c r="XEB447" s="539"/>
      <c r="XEC447" s="539"/>
      <c r="XED447" s="539"/>
      <c r="XEE447" s="539"/>
      <c r="XEF447" s="539"/>
      <c r="XEG447" s="539"/>
    </row>
    <row r="448" ht="15.95" customHeight="1" spans="1:16361">
      <c r="A448" s="598" t="s">
        <v>248</v>
      </c>
      <c r="B448" s="599" t="s">
        <v>383</v>
      </c>
      <c r="C448" s="598" t="s">
        <v>167</v>
      </c>
      <c r="D448" s="600">
        <v>13024</v>
      </c>
      <c r="E448" s="600">
        <v>1.5</v>
      </c>
      <c r="F448" s="601">
        <v>19536</v>
      </c>
      <c r="G448" s="602">
        <f>G446</f>
        <v>2348</v>
      </c>
      <c r="H448" s="603">
        <f>H391</f>
        <v>1</v>
      </c>
      <c r="I448" s="609">
        <f t="shared" si="64"/>
        <v>2348</v>
      </c>
      <c r="J448" s="437">
        <f t="shared" si="59"/>
        <v>2348</v>
      </c>
      <c r="K448" s="605"/>
      <c r="L448" s="605" t="s">
        <v>369</v>
      </c>
      <c r="M448" s="607">
        <v>0.1</v>
      </c>
      <c r="N448" s="605"/>
      <c r="O448" s="606"/>
      <c r="P448" s="606"/>
      <c r="XDO448" s="539"/>
      <c r="XDP448" s="539"/>
      <c r="XDQ448" s="539"/>
      <c r="XDR448" s="539"/>
      <c r="XDS448" s="539"/>
      <c r="XDY448" s="539"/>
      <c r="XDZ448" s="539"/>
      <c r="XEA448" s="539"/>
      <c r="XEB448" s="539"/>
      <c r="XEC448" s="539"/>
      <c r="XED448" s="539"/>
      <c r="XEE448" s="539"/>
      <c r="XEF448" s="539"/>
      <c r="XEG448" s="539"/>
    </row>
    <row r="449" ht="15.95" customHeight="1" spans="1:16361">
      <c r="A449" s="123"/>
      <c r="B449" s="406" t="s">
        <v>385</v>
      </c>
      <c r="C449" s="484" t="s">
        <v>336</v>
      </c>
      <c r="D449" s="596">
        <v>0.1</v>
      </c>
      <c r="E449" s="596">
        <v>107422.14</v>
      </c>
      <c r="F449" s="597">
        <v>10742.214</v>
      </c>
      <c r="G449" s="484">
        <v>0.1</v>
      </c>
      <c r="H449" s="425">
        <f>I445+I446</f>
        <v>115741.92</v>
      </c>
      <c r="I449" s="426">
        <f t="shared" si="64"/>
        <v>11574.192</v>
      </c>
      <c r="J449" s="437">
        <f t="shared" si="59"/>
        <v>11574.192</v>
      </c>
      <c r="K449" s="605">
        <v>5</v>
      </c>
      <c r="L449" s="605" t="s">
        <v>387</v>
      </c>
      <c r="M449" s="605" t="s">
        <v>248</v>
      </c>
      <c r="N449" s="605"/>
      <c r="O449" s="606"/>
      <c r="P449" s="606"/>
      <c r="XDO449" s="539"/>
      <c r="XDP449" s="539"/>
      <c r="XDQ449" s="539"/>
      <c r="XDR449" s="539"/>
      <c r="XDS449" s="539"/>
      <c r="XDY449" s="539"/>
      <c r="XDZ449" s="539"/>
      <c r="XEA449" s="539"/>
      <c r="XEB449" s="539"/>
      <c r="XEC449" s="539"/>
      <c r="XED449" s="539"/>
      <c r="XEE449" s="539"/>
      <c r="XEF449" s="539"/>
      <c r="XEG449" s="539"/>
    </row>
    <row r="450" ht="15.95" customHeight="1" spans="1:16361">
      <c r="A450" s="123" t="s">
        <v>409</v>
      </c>
      <c r="B450" s="406" t="s">
        <v>387</v>
      </c>
      <c r="C450" s="123" t="s">
        <v>248</v>
      </c>
      <c r="D450" s="596"/>
      <c r="E450" s="596"/>
      <c r="F450" s="597">
        <v>126224</v>
      </c>
      <c r="G450" s="425"/>
      <c r="H450" s="425"/>
      <c r="I450" s="426">
        <f>SUM(I451:I452)</f>
        <v>151492</v>
      </c>
      <c r="J450" s="437">
        <f t="shared" si="59"/>
        <v>0</v>
      </c>
      <c r="K450" s="605" t="s">
        <v>248</v>
      </c>
      <c r="L450" s="605" t="s">
        <v>410</v>
      </c>
      <c r="M450" s="605" t="s">
        <v>363</v>
      </c>
      <c r="N450" s="605">
        <v>1520</v>
      </c>
      <c r="O450" s="606">
        <v>1.03</v>
      </c>
      <c r="P450" s="606">
        <v>1565.6</v>
      </c>
      <c r="XDO450" s="539"/>
      <c r="XDP450" s="539"/>
      <c r="XDQ450" s="539"/>
      <c r="XDR450" s="539"/>
      <c r="XDS450" s="539"/>
      <c r="XDY450" s="539"/>
      <c r="XDZ450" s="539"/>
      <c r="XEA450" s="539"/>
      <c r="XEB450" s="539"/>
      <c r="XEC450" s="539"/>
      <c r="XED450" s="539"/>
      <c r="XEE450" s="539"/>
      <c r="XEF450" s="539"/>
      <c r="XEG450" s="539"/>
    </row>
    <row r="451" ht="37.5" customHeight="1" spans="1:16361">
      <c r="A451" s="610" t="s">
        <v>248</v>
      </c>
      <c r="B451" s="611" t="s">
        <v>388</v>
      </c>
      <c r="C451" s="610" t="s">
        <v>363</v>
      </c>
      <c r="D451" s="612">
        <v>1288</v>
      </c>
      <c r="E451" s="612">
        <v>88</v>
      </c>
      <c r="F451" s="613">
        <v>113344</v>
      </c>
      <c r="G451" s="614">
        <v>1565</v>
      </c>
      <c r="H451" s="614">
        <f>H394</f>
        <v>88</v>
      </c>
      <c r="I451" s="615">
        <f t="shared" ref="I451:I459" si="65">G451*H451</f>
        <v>137720</v>
      </c>
      <c r="J451" s="437">
        <f t="shared" si="59"/>
        <v>137720</v>
      </c>
      <c r="XDO451" s="539"/>
      <c r="XDP451" s="539"/>
      <c r="XDQ451" s="539"/>
      <c r="XDR451" s="539"/>
      <c r="XDS451" s="539"/>
      <c r="XDY451" s="539"/>
      <c r="XDZ451" s="539"/>
      <c r="XEA451" s="539"/>
      <c r="XEB451" s="539"/>
      <c r="XEC451" s="539"/>
      <c r="XED451" s="539"/>
      <c r="XEE451" s="539"/>
      <c r="XEF451" s="539"/>
      <c r="XEG451" s="539"/>
    </row>
    <row r="452" ht="15.95" customHeight="1" spans="1:16361">
      <c r="A452" s="610" t="s">
        <v>248</v>
      </c>
      <c r="B452" s="611" t="s">
        <v>390</v>
      </c>
      <c r="C452" s="610" t="s">
        <v>363</v>
      </c>
      <c r="D452" s="612">
        <v>1288</v>
      </c>
      <c r="E452" s="612">
        <v>10</v>
      </c>
      <c r="F452" s="613">
        <v>12880</v>
      </c>
      <c r="G452" s="614">
        <f>G451</f>
        <v>1565</v>
      </c>
      <c r="H452" s="614">
        <f>H395</f>
        <v>8.8</v>
      </c>
      <c r="I452" s="615">
        <f t="shared" si="65"/>
        <v>13772</v>
      </c>
      <c r="J452" s="437">
        <f t="shared" si="59"/>
        <v>13772</v>
      </c>
      <c r="XDO452" s="539"/>
      <c r="XDP452" s="539"/>
      <c r="XDQ452" s="539"/>
      <c r="XDR452" s="539"/>
      <c r="XDS452" s="539"/>
      <c r="XDY452" s="539"/>
      <c r="XDZ452" s="539"/>
      <c r="XEA452" s="539"/>
      <c r="XEB452" s="539"/>
      <c r="XEC452" s="539"/>
      <c r="XED452" s="539"/>
      <c r="XEE452" s="539"/>
      <c r="XEF452" s="539"/>
      <c r="XEG452" s="539"/>
    </row>
    <row r="453" ht="15.95" customHeight="1" spans="1:16361">
      <c r="A453" s="468">
        <v>2.3</v>
      </c>
      <c r="B453" s="418" t="s">
        <v>411</v>
      </c>
      <c r="C453" s="468"/>
      <c r="D453" s="573"/>
      <c r="E453" s="573"/>
      <c r="F453" s="574">
        <v>1368708.27755535</v>
      </c>
      <c r="G453" s="298"/>
      <c r="H453" s="425"/>
      <c r="I453" s="426">
        <f>I454+I468+I484+I499+I505</f>
        <v>1250663.19112355</v>
      </c>
      <c r="J453" s="437">
        <f t="shared" si="59"/>
        <v>0</v>
      </c>
      <c r="K453" s="605" t="s">
        <v>412</v>
      </c>
      <c r="L453" s="605" t="s">
        <v>411</v>
      </c>
      <c r="M453" s="605"/>
      <c r="N453" s="605"/>
      <c r="O453" s="606"/>
      <c r="P453" s="606"/>
      <c r="XDO453" s="539"/>
      <c r="XDP453" s="539"/>
      <c r="XDQ453" s="539"/>
      <c r="XDR453" s="539"/>
      <c r="XDS453" s="539"/>
      <c r="XDY453" s="539"/>
      <c r="XDZ453" s="539"/>
      <c r="XEA453" s="539"/>
      <c r="XEB453" s="539"/>
      <c r="XEC453" s="539"/>
      <c r="XED453" s="539"/>
      <c r="XEE453" s="539"/>
      <c r="XEF453" s="539"/>
      <c r="XEG453" s="539"/>
    </row>
    <row r="454" ht="15.95" customHeight="1" spans="1:16361">
      <c r="A454" s="123" t="s">
        <v>413</v>
      </c>
      <c r="B454" s="406" t="s">
        <v>327</v>
      </c>
      <c r="C454" s="468"/>
      <c r="D454" s="573"/>
      <c r="E454" s="573"/>
      <c r="F454" s="574">
        <v>734684.3232481</v>
      </c>
      <c r="G454" s="298"/>
      <c r="H454" s="425"/>
      <c r="I454" s="426">
        <f>I455+I459+I460+I463+I466</f>
        <v>612911.559</v>
      </c>
      <c r="J454" s="437">
        <f t="shared" si="59"/>
        <v>0</v>
      </c>
      <c r="K454" s="605">
        <v>1</v>
      </c>
      <c r="L454" s="605" t="s">
        <v>327</v>
      </c>
      <c r="M454" s="605"/>
      <c r="N454" s="605"/>
      <c r="O454" s="606"/>
      <c r="P454" s="606"/>
      <c r="XDO454" s="539"/>
      <c r="XDP454" s="539"/>
      <c r="XDQ454" s="539"/>
      <c r="XDR454" s="539"/>
      <c r="XDS454" s="539"/>
      <c r="XDY454" s="539"/>
      <c r="XDZ454" s="539"/>
      <c r="XEA454" s="539"/>
      <c r="XEB454" s="539"/>
      <c r="XEC454" s="539"/>
      <c r="XED454" s="539"/>
      <c r="XEE454" s="539"/>
      <c r="XEF454" s="539"/>
      <c r="XEG454" s="539"/>
    </row>
    <row r="455" ht="15.95" customHeight="1" spans="1:16361">
      <c r="A455" s="123" t="s">
        <v>329</v>
      </c>
      <c r="B455" s="406" t="s">
        <v>330</v>
      </c>
      <c r="C455" s="123" t="s">
        <v>248</v>
      </c>
      <c r="D455" s="596"/>
      <c r="E455" s="596"/>
      <c r="F455" s="597">
        <v>535318.8</v>
      </c>
      <c r="G455" s="298"/>
      <c r="H455" s="425"/>
      <c r="I455" s="426">
        <f>SUM(I456:I458)</f>
        <v>426835.04</v>
      </c>
      <c r="J455" s="437">
        <f t="shared" si="59"/>
        <v>0</v>
      </c>
      <c r="K455" s="605" t="s">
        <v>329</v>
      </c>
      <c r="L455" s="605" t="s">
        <v>330</v>
      </c>
      <c r="M455" s="605" t="s">
        <v>248</v>
      </c>
      <c r="N455" s="605"/>
      <c r="O455" s="606"/>
      <c r="P455" s="606"/>
      <c r="XDO455" s="539"/>
      <c r="XDP455" s="539"/>
      <c r="XDQ455" s="539"/>
      <c r="XDR455" s="539"/>
      <c r="XDS455" s="539"/>
      <c r="XDY455" s="539"/>
      <c r="XDZ455" s="539"/>
      <c r="XEA455" s="539"/>
      <c r="XEB455" s="539"/>
      <c r="XEC455" s="539"/>
      <c r="XED455" s="539"/>
      <c r="XEE455" s="539"/>
      <c r="XEF455" s="539"/>
      <c r="XEG455" s="539"/>
    </row>
    <row r="456" ht="15.95" customHeight="1" spans="1:16361">
      <c r="A456" s="123" t="s">
        <v>248</v>
      </c>
      <c r="B456" s="406" t="s">
        <v>331</v>
      </c>
      <c r="C456" s="123" t="s">
        <v>167</v>
      </c>
      <c r="D456" s="596">
        <v>3600</v>
      </c>
      <c r="E456" s="596">
        <v>52.99</v>
      </c>
      <c r="F456" s="597">
        <v>190764</v>
      </c>
      <c r="G456" s="298">
        <v>1030</v>
      </c>
      <c r="H456" s="425">
        <f>管材!M16</f>
        <v>42.3</v>
      </c>
      <c r="I456" s="426">
        <f t="shared" si="65"/>
        <v>43569</v>
      </c>
      <c r="J456" s="437">
        <f t="shared" si="59"/>
        <v>43569</v>
      </c>
      <c r="K456" s="605" t="s">
        <v>248</v>
      </c>
      <c r="L456" s="605" t="s">
        <v>331</v>
      </c>
      <c r="M456" s="605" t="s">
        <v>167</v>
      </c>
      <c r="N456" s="605">
        <v>1000</v>
      </c>
      <c r="O456" s="606">
        <v>1.03</v>
      </c>
      <c r="P456" s="606">
        <v>1030</v>
      </c>
      <c r="XDO456" s="539"/>
      <c r="XDP456" s="539"/>
      <c r="XDQ456" s="539"/>
      <c r="XDR456" s="539"/>
      <c r="XDS456" s="539"/>
      <c r="XDY456" s="539"/>
      <c r="XDZ456" s="539"/>
      <c r="XEA456" s="539"/>
      <c r="XEB456" s="539"/>
      <c r="XEC456" s="539"/>
      <c r="XED456" s="539"/>
      <c r="XEE456" s="539"/>
      <c r="XEF456" s="539"/>
      <c r="XEG456" s="539"/>
    </row>
    <row r="457" ht="15.95" customHeight="1" spans="1:16361">
      <c r="A457" s="123" t="s">
        <v>248</v>
      </c>
      <c r="B457" s="406" t="s">
        <v>332</v>
      </c>
      <c r="C457" s="123" t="s">
        <v>167</v>
      </c>
      <c r="D457" s="596">
        <v>7154</v>
      </c>
      <c r="E457" s="596">
        <v>42.3</v>
      </c>
      <c r="F457" s="597">
        <v>302614.2</v>
      </c>
      <c r="G457" s="298">
        <v>9866</v>
      </c>
      <c r="H457" s="425">
        <f>管材!L16</f>
        <v>34.54</v>
      </c>
      <c r="I457" s="426">
        <f t="shared" si="65"/>
        <v>340771.64</v>
      </c>
      <c r="J457" s="437">
        <f t="shared" si="59"/>
        <v>340771.64</v>
      </c>
      <c r="K457" s="605" t="s">
        <v>248</v>
      </c>
      <c r="L457" s="605" t="s">
        <v>332</v>
      </c>
      <c r="M457" s="605" t="s">
        <v>167</v>
      </c>
      <c r="N457" s="605">
        <v>9579</v>
      </c>
      <c r="O457" s="606">
        <v>1.03</v>
      </c>
      <c r="P457" s="606">
        <v>9866.37</v>
      </c>
      <c r="XDO457" s="539"/>
      <c r="XDP457" s="539"/>
      <c r="XDQ457" s="539"/>
      <c r="XDR457" s="539"/>
      <c r="XDS457" s="539"/>
      <c r="XDY457" s="539"/>
      <c r="XDZ457" s="539"/>
      <c r="XEA457" s="539"/>
      <c r="XEB457" s="539"/>
      <c r="XEC457" s="539"/>
      <c r="XED457" s="539"/>
      <c r="XEE457" s="539"/>
      <c r="XEF457" s="539"/>
      <c r="XEG457" s="539"/>
    </row>
    <row r="458" ht="15.95" customHeight="1" spans="1:16361">
      <c r="A458" s="123"/>
      <c r="B458" s="406" t="s">
        <v>333</v>
      </c>
      <c r="C458" s="123" t="s">
        <v>167</v>
      </c>
      <c r="D458" s="596">
        <v>10754</v>
      </c>
      <c r="E458" s="596">
        <v>3.9</v>
      </c>
      <c r="F458" s="597">
        <v>41940.6</v>
      </c>
      <c r="G458" s="298">
        <f>G456+G457</f>
        <v>10896</v>
      </c>
      <c r="H458" s="425">
        <v>3.9</v>
      </c>
      <c r="I458" s="426">
        <f t="shared" si="65"/>
        <v>42494.4</v>
      </c>
      <c r="J458" s="437">
        <f t="shared" si="59"/>
        <v>42494.4</v>
      </c>
      <c r="K458" s="605"/>
      <c r="L458" s="605" t="s">
        <v>333</v>
      </c>
      <c r="M458" s="605" t="s">
        <v>167</v>
      </c>
      <c r="N458" s="605">
        <v>10579</v>
      </c>
      <c r="O458" s="606">
        <v>1.03</v>
      </c>
      <c r="P458" s="606">
        <v>10896.37</v>
      </c>
      <c r="XDO458" s="539"/>
      <c r="XDP458" s="539"/>
      <c r="XDQ458" s="539"/>
      <c r="XDR458" s="539"/>
      <c r="XDS458" s="539"/>
      <c r="XDY458" s="539"/>
      <c r="XDZ458" s="539"/>
      <c r="XEA458" s="539"/>
      <c r="XEB458" s="539"/>
      <c r="XEC458" s="539"/>
      <c r="XED458" s="539"/>
      <c r="XEE458" s="539"/>
      <c r="XEF458" s="539"/>
      <c r="XEG458" s="539"/>
    </row>
    <row r="459" ht="15.95" customHeight="1" spans="1:16361">
      <c r="A459" s="123" t="s">
        <v>334</v>
      </c>
      <c r="B459" s="406" t="s">
        <v>335</v>
      </c>
      <c r="C459" s="484" t="s">
        <v>336</v>
      </c>
      <c r="D459" s="596">
        <v>0.1</v>
      </c>
      <c r="E459" s="596">
        <v>493378.2</v>
      </c>
      <c r="F459" s="597">
        <v>49337.82</v>
      </c>
      <c r="G459" s="484">
        <v>0.1</v>
      </c>
      <c r="H459" s="425">
        <f>I456+I457</f>
        <v>384340.64</v>
      </c>
      <c r="I459" s="426">
        <f t="shared" si="65"/>
        <v>38434.064</v>
      </c>
      <c r="J459" s="437">
        <f t="shared" si="59"/>
        <v>38434.064</v>
      </c>
      <c r="K459" s="605" t="s">
        <v>334</v>
      </c>
      <c r="L459" s="605" t="s">
        <v>335</v>
      </c>
      <c r="M459" s="607">
        <v>0.1</v>
      </c>
      <c r="N459" s="605"/>
      <c r="O459" s="606"/>
      <c r="P459" s="606"/>
      <c r="XDO459" s="539"/>
      <c r="XDP459" s="539"/>
      <c r="XDQ459" s="539"/>
      <c r="XDR459" s="539"/>
      <c r="XDS459" s="539"/>
      <c r="XDY459" s="539"/>
      <c r="XDZ459" s="539"/>
      <c r="XEA459" s="539"/>
      <c r="XEB459" s="539"/>
      <c r="XEC459" s="539"/>
      <c r="XED459" s="539"/>
      <c r="XEE459" s="539"/>
      <c r="XEF459" s="539"/>
      <c r="XEG459" s="539"/>
    </row>
    <row r="460" ht="15.95" customHeight="1" spans="1:16361">
      <c r="A460" s="123" t="s">
        <v>337</v>
      </c>
      <c r="B460" s="406" t="s">
        <v>338</v>
      </c>
      <c r="C460" s="123" t="s">
        <v>248</v>
      </c>
      <c r="D460" s="596"/>
      <c r="E460" s="596"/>
      <c r="F460" s="597">
        <v>108751.8282481</v>
      </c>
      <c r="G460" s="298"/>
      <c r="H460" s="425"/>
      <c r="I460" s="426">
        <f>SUM(I461:I462)</f>
        <v>110191.58</v>
      </c>
      <c r="J460" s="437">
        <f t="shared" si="59"/>
        <v>0</v>
      </c>
      <c r="K460" s="605" t="s">
        <v>337</v>
      </c>
      <c r="L460" s="605" t="s">
        <v>338</v>
      </c>
      <c r="M460" s="605" t="s">
        <v>248</v>
      </c>
      <c r="N460" s="605"/>
      <c r="O460" s="606"/>
      <c r="P460" s="606"/>
      <c r="XDO460" s="539"/>
      <c r="XDP460" s="539"/>
      <c r="XDQ460" s="539"/>
      <c r="XDR460" s="539"/>
      <c r="XDS460" s="539"/>
      <c r="XDY460" s="539"/>
      <c r="XDZ460" s="539"/>
      <c r="XEA460" s="539"/>
      <c r="XEB460" s="539"/>
      <c r="XEC460" s="539"/>
      <c r="XED460" s="539"/>
      <c r="XEE460" s="539"/>
      <c r="XEF460" s="539"/>
      <c r="XEG460" s="539"/>
    </row>
    <row r="461" ht="15.95" customHeight="1" spans="1:16361">
      <c r="A461" s="123" t="s">
        <v>248</v>
      </c>
      <c r="B461" s="406" t="s">
        <v>339</v>
      </c>
      <c r="C461" s="123" t="s">
        <v>169</v>
      </c>
      <c r="D461" s="596">
        <v>16238.8873</v>
      </c>
      <c r="E461" s="596">
        <v>3.98</v>
      </c>
      <c r="F461" s="597">
        <v>64630.771454</v>
      </c>
      <c r="G461" s="298">
        <v>16454</v>
      </c>
      <c r="H461" s="425">
        <v>3.98</v>
      </c>
      <c r="I461" s="426">
        <f t="shared" ref="I461:I465" si="66">G461*H461</f>
        <v>65486.92</v>
      </c>
      <c r="J461" s="437">
        <f t="shared" si="59"/>
        <v>65486.92</v>
      </c>
      <c r="K461" s="605" t="s">
        <v>248</v>
      </c>
      <c r="L461" s="605" t="s">
        <v>339</v>
      </c>
      <c r="M461" s="605" t="s">
        <v>341</v>
      </c>
      <c r="N461" s="606">
        <v>15974.29</v>
      </c>
      <c r="O461" s="606">
        <v>1.03</v>
      </c>
      <c r="P461" s="606">
        <v>16453.5187</v>
      </c>
      <c r="XDO461" s="539"/>
      <c r="XDP461" s="539"/>
      <c r="XDQ461" s="539"/>
      <c r="XDR461" s="539"/>
      <c r="XDS461" s="539"/>
      <c r="XDY461" s="539"/>
      <c r="XDZ461" s="539"/>
      <c r="XEA461" s="539"/>
      <c r="XEB461" s="539"/>
      <c r="XEC461" s="539"/>
      <c r="XED461" s="539"/>
      <c r="XEE461" s="539"/>
      <c r="XEF461" s="539"/>
      <c r="XEG461" s="539"/>
    </row>
    <row r="462" ht="15.95" customHeight="1" spans="1:16361">
      <c r="A462" s="123" t="s">
        <v>248</v>
      </c>
      <c r="B462" s="406" t="s">
        <v>340</v>
      </c>
      <c r="C462" s="123" t="s">
        <v>169</v>
      </c>
      <c r="D462" s="596">
        <v>15426.942935</v>
      </c>
      <c r="E462" s="596">
        <v>2.86</v>
      </c>
      <c r="F462" s="597">
        <v>44121.0567941</v>
      </c>
      <c r="G462" s="298">
        <v>15631</v>
      </c>
      <c r="H462" s="425">
        <v>2.86</v>
      </c>
      <c r="I462" s="426">
        <f t="shared" si="66"/>
        <v>44704.66</v>
      </c>
      <c r="J462" s="437">
        <f t="shared" si="59"/>
        <v>44704.66</v>
      </c>
      <c r="K462" s="605" t="s">
        <v>248</v>
      </c>
      <c r="L462" s="605" t="s">
        <v>340</v>
      </c>
      <c r="M462" s="605" t="s">
        <v>341</v>
      </c>
      <c r="N462" s="606">
        <v>15175.5755</v>
      </c>
      <c r="O462" s="606">
        <v>1.03</v>
      </c>
      <c r="P462" s="606">
        <v>15630.842765</v>
      </c>
      <c r="XDO462" s="539"/>
      <c r="XDP462" s="539"/>
      <c r="XDQ462" s="539"/>
      <c r="XDR462" s="539"/>
      <c r="XDS462" s="539"/>
      <c r="XDY462" s="539"/>
      <c r="XDZ462" s="539"/>
      <c r="XEA462" s="539"/>
      <c r="XEB462" s="539"/>
      <c r="XEC462" s="539"/>
      <c r="XED462" s="539"/>
      <c r="XEE462" s="539"/>
      <c r="XEF462" s="539"/>
      <c r="XEG462" s="539"/>
    </row>
    <row r="463" ht="15.95" customHeight="1" spans="1:16361">
      <c r="A463" s="123" t="s">
        <v>342</v>
      </c>
      <c r="B463" s="406" t="s">
        <v>343</v>
      </c>
      <c r="C463" s="123"/>
      <c r="D463" s="596"/>
      <c r="E463" s="596"/>
      <c r="F463" s="597">
        <v>28800</v>
      </c>
      <c r="G463" s="298"/>
      <c r="H463" s="425"/>
      <c r="I463" s="426">
        <f>SUM(I464:I465)</f>
        <v>22400</v>
      </c>
      <c r="J463" s="437">
        <f t="shared" si="59"/>
        <v>0</v>
      </c>
      <c r="K463" s="605" t="s">
        <v>342</v>
      </c>
      <c r="L463" s="605" t="s">
        <v>343</v>
      </c>
      <c r="M463" s="605"/>
      <c r="N463" s="605"/>
      <c r="O463" s="606"/>
      <c r="P463" s="606"/>
      <c r="XDO463" s="539"/>
      <c r="XDP463" s="539"/>
      <c r="XDQ463" s="539"/>
      <c r="XDR463" s="539"/>
      <c r="XDS463" s="539"/>
      <c r="XDY463" s="539"/>
      <c r="XDZ463" s="539"/>
      <c r="XEA463" s="539"/>
      <c r="XEB463" s="539"/>
      <c r="XEC463" s="539"/>
      <c r="XED463" s="539"/>
      <c r="XEE463" s="539"/>
      <c r="XEF463" s="539"/>
      <c r="XEG463" s="539"/>
    </row>
    <row r="464" ht="15.95" customHeight="1" spans="1:16361">
      <c r="A464" s="123" t="s">
        <v>248</v>
      </c>
      <c r="B464" s="406" t="s">
        <v>344</v>
      </c>
      <c r="C464" s="123" t="s">
        <v>193</v>
      </c>
      <c r="D464" s="596">
        <v>18</v>
      </c>
      <c r="E464" s="596">
        <v>650</v>
      </c>
      <c r="F464" s="597">
        <v>11700</v>
      </c>
      <c r="G464" s="298">
        <v>14</v>
      </c>
      <c r="H464" s="425">
        <v>650</v>
      </c>
      <c r="I464" s="426">
        <f t="shared" si="66"/>
        <v>9100</v>
      </c>
      <c r="J464" s="437">
        <f t="shared" si="59"/>
        <v>9100</v>
      </c>
      <c r="K464" s="605" t="s">
        <v>248</v>
      </c>
      <c r="L464" s="605" t="s">
        <v>344</v>
      </c>
      <c r="M464" s="605" t="s">
        <v>193</v>
      </c>
      <c r="N464" s="605">
        <v>14</v>
      </c>
      <c r="O464" s="606">
        <v>1</v>
      </c>
      <c r="P464" s="606">
        <v>14</v>
      </c>
      <c r="XDO464" s="539"/>
      <c r="XDP464" s="539"/>
      <c r="XDQ464" s="539"/>
      <c r="XDR464" s="539"/>
      <c r="XDS464" s="539"/>
      <c r="XDY464" s="539"/>
      <c r="XDZ464" s="539"/>
      <c r="XEA464" s="539"/>
      <c r="XEB464" s="539"/>
      <c r="XEC464" s="539"/>
      <c r="XED464" s="539"/>
      <c r="XEE464" s="539"/>
      <c r="XEF464" s="539"/>
      <c r="XEG464" s="539"/>
    </row>
    <row r="465" ht="15.95" customHeight="1" spans="1:16361">
      <c r="A465" s="123" t="s">
        <v>248</v>
      </c>
      <c r="B465" s="406" t="s">
        <v>345</v>
      </c>
      <c r="C465" s="123" t="s">
        <v>305</v>
      </c>
      <c r="D465" s="596">
        <v>18</v>
      </c>
      <c r="E465" s="596">
        <v>950</v>
      </c>
      <c r="F465" s="597">
        <v>17100</v>
      </c>
      <c r="G465" s="298">
        <f>G464</f>
        <v>14</v>
      </c>
      <c r="H465" s="554">
        <f>950</f>
        <v>950</v>
      </c>
      <c r="I465" s="426">
        <f t="shared" si="66"/>
        <v>13300</v>
      </c>
      <c r="J465" s="437">
        <f t="shared" si="59"/>
        <v>13300</v>
      </c>
      <c r="K465" s="605" t="s">
        <v>248</v>
      </c>
      <c r="L465" s="605" t="s">
        <v>345</v>
      </c>
      <c r="M465" s="605" t="s">
        <v>305</v>
      </c>
      <c r="N465" s="605">
        <v>14</v>
      </c>
      <c r="O465" s="606">
        <v>1</v>
      </c>
      <c r="P465" s="606">
        <v>14</v>
      </c>
      <c r="XDO465" s="539"/>
      <c r="XDP465" s="539"/>
      <c r="XDQ465" s="539"/>
      <c r="XDR465" s="539"/>
      <c r="XDS465" s="539"/>
      <c r="XDY465" s="539"/>
      <c r="XDZ465" s="539"/>
      <c r="XEA465" s="539"/>
      <c r="XEB465" s="539"/>
      <c r="XEC465" s="539"/>
      <c r="XED465" s="539"/>
      <c r="XEE465" s="539"/>
      <c r="XEF465" s="539"/>
      <c r="XEG465" s="539"/>
    </row>
    <row r="466" ht="15.95" customHeight="1" spans="1:16361">
      <c r="A466" s="485" t="s">
        <v>346</v>
      </c>
      <c r="B466" s="406" t="s">
        <v>347</v>
      </c>
      <c r="C466" s="123" t="s">
        <v>193</v>
      </c>
      <c r="D466" s="596">
        <v>1</v>
      </c>
      <c r="E466" s="596"/>
      <c r="F466" s="597">
        <v>12475.875</v>
      </c>
      <c r="G466" s="298">
        <v>1</v>
      </c>
      <c r="H466" s="425"/>
      <c r="I466" s="426">
        <f>I467</f>
        <v>15050.875</v>
      </c>
      <c r="J466" s="437">
        <f t="shared" si="59"/>
        <v>0</v>
      </c>
      <c r="K466" s="608" t="s">
        <v>346</v>
      </c>
      <c r="L466" s="605" t="s">
        <v>347</v>
      </c>
      <c r="M466" s="605" t="s">
        <v>193</v>
      </c>
      <c r="N466" s="605">
        <v>1</v>
      </c>
      <c r="O466" s="606"/>
      <c r="P466" s="606"/>
      <c r="XDO466" s="539"/>
      <c r="XDP466" s="539"/>
      <c r="XDQ466" s="539"/>
      <c r="XDR466" s="539"/>
      <c r="XDS466" s="539"/>
      <c r="XDY466" s="539"/>
      <c r="XDZ466" s="539"/>
      <c r="XEA466" s="539"/>
      <c r="XEB466" s="539"/>
      <c r="XEC466" s="539"/>
      <c r="XED466" s="539"/>
      <c r="XEE466" s="539"/>
      <c r="XEF466" s="539"/>
      <c r="XEG466" s="539"/>
    </row>
    <row r="467" ht="15.95" customHeight="1" spans="1:16361">
      <c r="A467" s="123" t="s">
        <v>248</v>
      </c>
      <c r="B467" s="406" t="s">
        <v>348</v>
      </c>
      <c r="C467" s="123" t="s">
        <v>167</v>
      </c>
      <c r="D467" s="596">
        <v>51.5</v>
      </c>
      <c r="E467" s="596">
        <v>242.25</v>
      </c>
      <c r="F467" s="597">
        <v>12475.875</v>
      </c>
      <c r="G467" s="298">
        <v>51.5</v>
      </c>
      <c r="H467" s="425">
        <f>H355</f>
        <v>292.25</v>
      </c>
      <c r="I467" s="426">
        <f>G467*H467</f>
        <v>15050.875</v>
      </c>
      <c r="J467" s="437">
        <f t="shared" si="59"/>
        <v>15050.875</v>
      </c>
      <c r="K467" s="605" t="s">
        <v>248</v>
      </c>
      <c r="L467" s="605" t="s">
        <v>348</v>
      </c>
      <c r="M467" s="605" t="s">
        <v>167</v>
      </c>
      <c r="N467" s="605">
        <v>50</v>
      </c>
      <c r="O467" s="606">
        <v>1.03</v>
      </c>
      <c r="P467" s="606">
        <v>51.5</v>
      </c>
      <c r="XDO467" s="539"/>
      <c r="XDP467" s="539"/>
      <c r="XDQ467" s="539"/>
      <c r="XDR467" s="539"/>
      <c r="XDS467" s="539"/>
      <c r="XDY467" s="539"/>
      <c r="XDZ467" s="539"/>
      <c r="XEA467" s="539"/>
      <c r="XEB467" s="539"/>
      <c r="XEC467" s="539"/>
      <c r="XED467" s="539"/>
      <c r="XEE467" s="539"/>
      <c r="XEF467" s="539"/>
      <c r="XEG467" s="539"/>
    </row>
    <row r="468" ht="15.95" customHeight="1" spans="1:16361">
      <c r="A468" s="123" t="s">
        <v>414</v>
      </c>
      <c r="B468" s="406" t="s">
        <v>350</v>
      </c>
      <c r="C468" s="123" t="s">
        <v>248</v>
      </c>
      <c r="D468" s="596"/>
      <c r="E468" s="596"/>
      <c r="F468" s="597">
        <v>339306.654242199</v>
      </c>
      <c r="G468" s="298"/>
      <c r="H468" s="425"/>
      <c r="I468" s="426">
        <f>I469+I476+I477+I480</f>
        <v>299977.118</v>
      </c>
      <c r="J468" s="437">
        <f t="shared" si="59"/>
        <v>0</v>
      </c>
      <c r="K468" s="605">
        <v>2</v>
      </c>
      <c r="L468" s="605" t="s">
        <v>350</v>
      </c>
      <c r="M468" s="605" t="s">
        <v>248</v>
      </c>
      <c r="N468" s="605"/>
      <c r="O468" s="606"/>
      <c r="P468" s="606"/>
      <c r="XDO468" s="539"/>
      <c r="XDP468" s="539"/>
      <c r="XDQ468" s="539"/>
      <c r="XDR468" s="539"/>
      <c r="XDS468" s="539"/>
      <c r="XDY468" s="539"/>
      <c r="XDZ468" s="539"/>
      <c r="XEA468" s="539"/>
      <c r="XEB468" s="539"/>
      <c r="XEC468" s="539"/>
      <c r="XED468" s="539"/>
      <c r="XEE468" s="539"/>
      <c r="XEF468" s="539"/>
      <c r="XEG468" s="539"/>
    </row>
    <row r="469" ht="15.95" customHeight="1" spans="1:16361">
      <c r="A469" s="123" t="s">
        <v>329</v>
      </c>
      <c r="B469" s="406" t="s">
        <v>330</v>
      </c>
      <c r="C469" s="123"/>
      <c r="D469" s="596"/>
      <c r="E469" s="596"/>
      <c r="F469" s="597">
        <v>222256.64</v>
      </c>
      <c r="G469" s="298"/>
      <c r="H469" s="425"/>
      <c r="I469" s="426">
        <f>SUM(I470:I475)</f>
        <v>187322.83</v>
      </c>
      <c r="J469" s="437">
        <f t="shared" si="59"/>
        <v>0</v>
      </c>
      <c r="K469" s="605" t="s">
        <v>329</v>
      </c>
      <c r="L469" s="605" t="s">
        <v>330</v>
      </c>
      <c r="M469" s="605" t="s">
        <v>248</v>
      </c>
      <c r="N469" s="605"/>
      <c r="O469" s="606"/>
      <c r="P469" s="606"/>
      <c r="XDO469" s="539"/>
      <c r="XDP469" s="539"/>
      <c r="XDQ469" s="539"/>
      <c r="XDR469" s="539"/>
      <c r="XDS469" s="539"/>
      <c r="XDY469" s="539"/>
      <c r="XDZ469" s="539"/>
      <c r="XEA469" s="539"/>
      <c r="XEB469" s="539"/>
      <c r="XEC469" s="539"/>
      <c r="XED469" s="539"/>
      <c r="XEE469" s="539"/>
      <c r="XEF469" s="539"/>
      <c r="XEG469" s="539"/>
    </row>
    <row r="470" ht="15.95" customHeight="1" spans="1:16361">
      <c r="A470" s="123"/>
      <c r="B470" s="406" t="s">
        <v>404</v>
      </c>
      <c r="C470" s="123" t="s">
        <v>167</v>
      </c>
      <c r="D470" s="596">
        <v>6513</v>
      </c>
      <c r="E470" s="596">
        <v>21.31</v>
      </c>
      <c r="F470" s="597">
        <v>138792.03</v>
      </c>
      <c r="G470" s="298">
        <v>3332</v>
      </c>
      <c r="H470" s="425">
        <f>H415</f>
        <v>21.31</v>
      </c>
      <c r="I470" s="426">
        <f t="shared" ref="I470:I476" si="67">G470*H470</f>
        <v>71004.92</v>
      </c>
      <c r="J470" s="437">
        <f t="shared" si="59"/>
        <v>71004.92</v>
      </c>
      <c r="K470" s="605"/>
      <c r="L470" s="605" t="s">
        <v>404</v>
      </c>
      <c r="M470" s="605" t="s">
        <v>167</v>
      </c>
      <c r="N470" s="606">
        <v>3235</v>
      </c>
      <c r="O470" s="606">
        <v>1.03</v>
      </c>
      <c r="P470" s="606">
        <v>3332.05</v>
      </c>
      <c r="XDO470" s="539"/>
      <c r="XDP470" s="539"/>
      <c r="XDQ470" s="539"/>
      <c r="XDR470" s="539"/>
      <c r="XDS470" s="539"/>
      <c r="XDY470" s="539"/>
      <c r="XDZ470" s="539"/>
      <c r="XEA470" s="539"/>
      <c r="XEB470" s="539"/>
      <c r="XEC470" s="539"/>
      <c r="XED470" s="539"/>
      <c r="XEE470" s="539"/>
      <c r="XEF470" s="539"/>
      <c r="XEG470" s="539"/>
    </row>
    <row r="471" ht="15.95" customHeight="1" spans="1:16361">
      <c r="A471" s="123"/>
      <c r="B471" s="406" t="s">
        <v>352</v>
      </c>
      <c r="C471" s="123" t="s">
        <v>167</v>
      </c>
      <c r="D471" s="596">
        <v>4258</v>
      </c>
      <c r="E471" s="596">
        <v>9.47</v>
      </c>
      <c r="F471" s="597">
        <v>40323.26</v>
      </c>
      <c r="G471" s="298">
        <v>4594</v>
      </c>
      <c r="H471" s="425">
        <f>H416</f>
        <v>9.47</v>
      </c>
      <c r="I471" s="426">
        <f t="shared" si="67"/>
        <v>43505.18</v>
      </c>
      <c r="J471" s="437">
        <f t="shared" si="59"/>
        <v>43505.18</v>
      </c>
      <c r="K471" s="605"/>
      <c r="L471" s="605" t="s">
        <v>352</v>
      </c>
      <c r="M471" s="605" t="s">
        <v>167</v>
      </c>
      <c r="N471" s="606">
        <v>4460</v>
      </c>
      <c r="O471" s="606">
        <v>1.03</v>
      </c>
      <c r="P471" s="606">
        <v>4593.8</v>
      </c>
      <c r="XDO471" s="539"/>
      <c r="XDP471" s="539"/>
      <c r="XDQ471" s="539"/>
      <c r="XDR471" s="539"/>
      <c r="XDS471" s="539"/>
      <c r="XDY471" s="539"/>
      <c r="XDZ471" s="539"/>
      <c r="XEA471" s="539"/>
      <c r="XEB471" s="539"/>
      <c r="XEC471" s="539"/>
      <c r="XED471" s="539"/>
      <c r="XEE471" s="539"/>
      <c r="XEF471" s="539"/>
      <c r="XEG471" s="539"/>
    </row>
    <row r="472" ht="15.95" customHeight="1" spans="1:16361">
      <c r="A472" s="123"/>
      <c r="B472" s="406" t="s">
        <v>353</v>
      </c>
      <c r="C472" s="123" t="s">
        <v>167</v>
      </c>
      <c r="D472" s="596">
        <v>4258</v>
      </c>
      <c r="E472" s="596">
        <v>9.47</v>
      </c>
      <c r="F472" s="597">
        <v>40323.26</v>
      </c>
      <c r="G472" s="298">
        <v>2619</v>
      </c>
      <c r="H472" s="425">
        <f>H417</f>
        <v>13.61</v>
      </c>
      <c r="I472" s="426">
        <f t="shared" si="67"/>
        <v>35644.59</v>
      </c>
      <c r="J472" s="437">
        <f t="shared" si="59"/>
        <v>35644.59</v>
      </c>
      <c r="K472" s="605"/>
      <c r="L472" s="605"/>
      <c r="M472" s="605"/>
      <c r="N472" s="606"/>
      <c r="O472" s="606"/>
      <c r="P472" s="606"/>
      <c r="XDO472" s="539"/>
      <c r="XDP472" s="539"/>
      <c r="XDQ472" s="539"/>
      <c r="XDR472" s="539"/>
      <c r="XDS472" s="539"/>
      <c r="XDY472" s="539"/>
      <c r="XDZ472" s="539"/>
      <c r="XEA472" s="539"/>
      <c r="XEB472" s="539"/>
      <c r="XEC472" s="539"/>
      <c r="XED472" s="539"/>
      <c r="XEE472" s="539"/>
      <c r="XEF472" s="539"/>
      <c r="XEG472" s="539"/>
    </row>
    <row r="473" ht="15.95" customHeight="1" spans="1:16361">
      <c r="A473" s="123"/>
      <c r="B473" s="406" t="s">
        <v>354</v>
      </c>
      <c r="C473" s="123" t="s">
        <v>167</v>
      </c>
      <c r="D473" s="596">
        <v>45</v>
      </c>
      <c r="E473" s="596">
        <v>21.31</v>
      </c>
      <c r="F473" s="597">
        <v>958.95</v>
      </c>
      <c r="G473" s="298">
        <v>29</v>
      </c>
      <c r="H473" s="425">
        <f>H418</f>
        <v>21.31</v>
      </c>
      <c r="I473" s="426">
        <f t="shared" si="67"/>
        <v>617.99</v>
      </c>
      <c r="J473" s="437">
        <f t="shared" si="59"/>
        <v>617.99</v>
      </c>
      <c r="K473" s="605"/>
      <c r="L473" s="605" t="s">
        <v>353</v>
      </c>
      <c r="M473" s="605" t="s">
        <v>167</v>
      </c>
      <c r="N473" s="606">
        <v>2543</v>
      </c>
      <c r="O473" s="606">
        <v>1.03</v>
      </c>
      <c r="P473" s="606">
        <v>2619.29</v>
      </c>
      <c r="XDO473" s="539"/>
      <c r="XDP473" s="539"/>
      <c r="XDQ473" s="539"/>
      <c r="XDR473" s="539"/>
      <c r="XDS473" s="539"/>
      <c r="XDY473" s="539"/>
      <c r="XDZ473" s="539"/>
      <c r="XEA473" s="539"/>
      <c r="XEB473" s="539"/>
      <c r="XEC473" s="539"/>
      <c r="XED473" s="539"/>
      <c r="XEE473" s="539"/>
      <c r="XEF473" s="539"/>
      <c r="XEG473" s="539"/>
    </row>
    <row r="474" ht="15.95" customHeight="1" spans="1:16361">
      <c r="A474" s="598"/>
      <c r="B474" s="599" t="s">
        <v>355</v>
      </c>
      <c r="C474" s="598" t="s">
        <v>167</v>
      </c>
      <c r="D474" s="600"/>
      <c r="E474" s="600"/>
      <c r="F474" s="601"/>
      <c r="G474" s="602">
        <f>G471+G472</f>
        <v>7213</v>
      </c>
      <c r="H474" s="603">
        <v>3.25</v>
      </c>
      <c r="I474" s="609">
        <f t="shared" si="67"/>
        <v>23442.25</v>
      </c>
      <c r="J474" s="437">
        <f t="shared" si="59"/>
        <v>23442.25</v>
      </c>
      <c r="K474" s="605"/>
      <c r="L474" s="605" t="s">
        <v>354</v>
      </c>
      <c r="M474" s="605" t="s">
        <v>167</v>
      </c>
      <c r="N474" s="606">
        <v>28</v>
      </c>
      <c r="O474" s="606">
        <v>1.03</v>
      </c>
      <c r="P474" s="606">
        <v>28.84</v>
      </c>
      <c r="XDO474" s="539"/>
      <c r="XDP474" s="539"/>
      <c r="XDQ474" s="539"/>
      <c r="XDR474" s="539"/>
      <c r="XDS474" s="539"/>
      <c r="XDY474" s="539"/>
      <c r="XDZ474" s="539"/>
      <c r="XEA474" s="539"/>
      <c r="XEB474" s="539"/>
      <c r="XEC474" s="539"/>
      <c r="XED474" s="539"/>
      <c r="XEE474" s="539"/>
      <c r="XEF474" s="539"/>
      <c r="XEG474" s="539"/>
    </row>
    <row r="475" ht="15.95" customHeight="1" spans="1:16361">
      <c r="A475" s="598"/>
      <c r="B475" s="599" t="s">
        <v>405</v>
      </c>
      <c r="C475" s="598" t="s">
        <v>167</v>
      </c>
      <c r="D475" s="600">
        <v>10816</v>
      </c>
      <c r="E475" s="600">
        <v>3.9</v>
      </c>
      <c r="F475" s="601">
        <v>42182.4</v>
      </c>
      <c r="G475" s="602">
        <f>G470+G473</f>
        <v>3361</v>
      </c>
      <c r="H475" s="603">
        <v>3.9</v>
      </c>
      <c r="I475" s="609">
        <f t="shared" si="67"/>
        <v>13107.9</v>
      </c>
      <c r="J475" s="437">
        <f t="shared" si="59"/>
        <v>13107.9</v>
      </c>
      <c r="K475" s="605"/>
      <c r="L475" s="605" t="s">
        <v>358</v>
      </c>
      <c r="M475" s="605" t="s">
        <v>167</v>
      </c>
      <c r="N475" s="606">
        <v>10266</v>
      </c>
      <c r="O475" s="606">
        <v>1.03</v>
      </c>
      <c r="P475" s="606">
        <v>10573.98</v>
      </c>
      <c r="XDO475" s="539"/>
      <c r="XDP475" s="539"/>
      <c r="XDQ475" s="539"/>
      <c r="XDR475" s="539"/>
      <c r="XDS475" s="539"/>
      <c r="XDY475" s="539"/>
      <c r="XDZ475" s="539"/>
      <c r="XEA475" s="539"/>
      <c r="XEB475" s="539"/>
      <c r="XEC475" s="539"/>
      <c r="XED475" s="539"/>
      <c r="XEE475" s="539"/>
      <c r="XEF475" s="539"/>
      <c r="XEG475" s="539"/>
    </row>
    <row r="476" ht="15.95" customHeight="1" spans="1:16361">
      <c r="A476" s="486">
        <v>-2</v>
      </c>
      <c r="B476" s="406" t="s">
        <v>357</v>
      </c>
      <c r="C476" s="484" t="s">
        <v>336</v>
      </c>
      <c r="D476" s="596">
        <v>0.1</v>
      </c>
      <c r="E476" s="596">
        <v>180074.24</v>
      </c>
      <c r="F476" s="597">
        <v>18007.424</v>
      </c>
      <c r="G476" s="484">
        <v>0.1</v>
      </c>
      <c r="H476" s="425">
        <f>I470+I471+I473+I472</f>
        <v>150772.68</v>
      </c>
      <c r="I476" s="426">
        <f t="shared" si="67"/>
        <v>15077.268</v>
      </c>
      <c r="J476" s="437">
        <f t="shared" si="59"/>
        <v>15077.268</v>
      </c>
      <c r="K476" s="605" t="s">
        <v>334</v>
      </c>
      <c r="L476" s="605" t="s">
        <v>335</v>
      </c>
      <c r="M476" s="607">
        <v>0.1</v>
      </c>
      <c r="N476" s="605"/>
      <c r="O476" s="606"/>
      <c r="P476" s="606"/>
      <c r="XDO476" s="539"/>
      <c r="XDP476" s="539"/>
      <c r="XDQ476" s="539"/>
      <c r="XDR476" s="539"/>
      <c r="XDS476" s="539"/>
      <c r="XDY476" s="539"/>
      <c r="XDZ476" s="539"/>
      <c r="XEA476" s="539"/>
      <c r="XEB476" s="539"/>
      <c r="XEC476" s="539"/>
      <c r="XED476" s="539"/>
      <c r="XEE476" s="539"/>
      <c r="XEF476" s="539"/>
      <c r="XEG476" s="539"/>
    </row>
    <row r="477" ht="15.95" customHeight="1" spans="1:16361">
      <c r="A477" s="123" t="s">
        <v>337</v>
      </c>
      <c r="B477" s="406" t="s">
        <v>338</v>
      </c>
      <c r="C477" s="123" t="s">
        <v>248</v>
      </c>
      <c r="D477" s="596"/>
      <c r="E477" s="596"/>
      <c r="F477" s="597">
        <v>50862.5902421985</v>
      </c>
      <c r="G477" s="298"/>
      <c r="H477" s="425"/>
      <c r="I477" s="426">
        <f>SUM(I478:I479)</f>
        <v>49417.02</v>
      </c>
      <c r="J477" s="437">
        <f t="shared" si="59"/>
        <v>0</v>
      </c>
      <c r="K477" s="605" t="s">
        <v>337</v>
      </c>
      <c r="L477" s="605" t="s">
        <v>338</v>
      </c>
      <c r="M477" s="605" t="s">
        <v>248</v>
      </c>
      <c r="N477" s="605"/>
      <c r="O477" s="606"/>
      <c r="P477" s="606"/>
      <c r="XDO477" s="539"/>
      <c r="XDP477" s="539"/>
      <c r="XDQ477" s="539"/>
      <c r="XDR477" s="539"/>
      <c r="XDS477" s="539"/>
      <c r="XDY477" s="539"/>
      <c r="XDZ477" s="539"/>
      <c r="XEA477" s="539"/>
      <c r="XEB477" s="539"/>
      <c r="XEC477" s="539"/>
      <c r="XED477" s="539"/>
      <c r="XEE477" s="539"/>
      <c r="XEF477" s="539"/>
      <c r="XEG477" s="539"/>
    </row>
    <row r="478" ht="15.95" customHeight="1" spans="1:16361">
      <c r="A478" s="123" t="s">
        <v>248</v>
      </c>
      <c r="B478" s="406" t="s">
        <v>339</v>
      </c>
      <c r="C478" s="123" t="s">
        <v>169</v>
      </c>
      <c r="D478" s="596">
        <v>7594.8320505</v>
      </c>
      <c r="E478" s="596">
        <v>3.98</v>
      </c>
      <c r="F478" s="597">
        <v>30227.43156099</v>
      </c>
      <c r="G478" s="298">
        <v>7379</v>
      </c>
      <c r="H478" s="425">
        <v>3.98</v>
      </c>
      <c r="I478" s="426">
        <f t="shared" ref="I478:I483" si="68">G478*H478</f>
        <v>29368.42</v>
      </c>
      <c r="J478" s="437">
        <f t="shared" si="59"/>
        <v>29368.42</v>
      </c>
      <c r="K478" s="605" t="s">
        <v>248</v>
      </c>
      <c r="L478" s="605" t="s">
        <v>339</v>
      </c>
      <c r="M478" s="605" t="s">
        <v>341</v>
      </c>
      <c r="N478" s="606">
        <v>7164.265</v>
      </c>
      <c r="O478" s="606">
        <v>1.03</v>
      </c>
      <c r="P478" s="606">
        <v>7379.19295</v>
      </c>
      <c r="XDO478" s="539"/>
      <c r="XDP478" s="539"/>
      <c r="XDQ478" s="539"/>
      <c r="XDR478" s="539"/>
      <c r="XDS478" s="539"/>
      <c r="XDY478" s="539"/>
      <c r="XDZ478" s="539"/>
      <c r="XEA478" s="539"/>
      <c r="XEB478" s="539"/>
      <c r="XEC478" s="539"/>
      <c r="XED478" s="539"/>
      <c r="XEE478" s="539"/>
      <c r="XEF478" s="539"/>
      <c r="XEG478" s="539"/>
    </row>
    <row r="479" ht="15.95" customHeight="1" spans="1:16361">
      <c r="A479" s="123" t="s">
        <v>248</v>
      </c>
      <c r="B479" s="406" t="s">
        <v>340</v>
      </c>
      <c r="C479" s="123" t="s">
        <v>169</v>
      </c>
      <c r="D479" s="596">
        <v>7215.090447975</v>
      </c>
      <c r="E479" s="596">
        <v>2.86</v>
      </c>
      <c r="F479" s="597">
        <v>20635.1586812085</v>
      </c>
      <c r="G479" s="298">
        <v>7010</v>
      </c>
      <c r="H479" s="425">
        <v>2.86</v>
      </c>
      <c r="I479" s="426">
        <f t="shared" si="68"/>
        <v>20048.6</v>
      </c>
      <c r="J479" s="437">
        <f t="shared" si="59"/>
        <v>20048.6</v>
      </c>
      <c r="K479" s="605" t="s">
        <v>248</v>
      </c>
      <c r="L479" s="605" t="s">
        <v>340</v>
      </c>
      <c r="M479" s="605" t="s">
        <v>341</v>
      </c>
      <c r="N479" s="606">
        <v>6806.05175</v>
      </c>
      <c r="O479" s="606">
        <v>1.03</v>
      </c>
      <c r="P479" s="606">
        <v>7010.2333025</v>
      </c>
      <c r="XDO479" s="539"/>
      <c r="XDP479" s="539"/>
      <c r="XDQ479" s="539"/>
      <c r="XDR479" s="539"/>
      <c r="XDS479" s="539"/>
      <c r="XDY479" s="539"/>
      <c r="XDZ479" s="539"/>
      <c r="XEA479" s="539"/>
      <c r="XEB479" s="539"/>
      <c r="XEC479" s="539"/>
      <c r="XED479" s="539"/>
      <c r="XEE479" s="539"/>
      <c r="XEF479" s="539"/>
      <c r="XEG479" s="539"/>
    </row>
    <row r="480" ht="15.95" customHeight="1" spans="1:16361">
      <c r="A480" s="123" t="s">
        <v>342</v>
      </c>
      <c r="B480" s="406" t="s">
        <v>359</v>
      </c>
      <c r="C480" s="123"/>
      <c r="D480" s="596"/>
      <c r="E480" s="596"/>
      <c r="F480" s="597">
        <v>48180</v>
      </c>
      <c r="G480" s="484"/>
      <c r="H480" s="425"/>
      <c r="I480" s="426">
        <f>SUM(I481:I483)</f>
        <v>48160</v>
      </c>
      <c r="J480" s="437">
        <f t="shared" si="59"/>
        <v>0</v>
      </c>
      <c r="K480" s="605" t="s">
        <v>342</v>
      </c>
      <c r="L480" s="605" t="s">
        <v>359</v>
      </c>
      <c r="M480" s="605"/>
      <c r="N480" s="606"/>
      <c r="O480" s="606"/>
      <c r="P480" s="606"/>
      <c r="XDO480" s="539"/>
      <c r="XDP480" s="539"/>
      <c r="XDQ480" s="539"/>
      <c r="XDR480" s="539"/>
      <c r="XDS480" s="539"/>
      <c r="XDY480" s="539"/>
      <c r="XDZ480" s="539"/>
      <c r="XEA480" s="539"/>
      <c r="XEB480" s="539"/>
      <c r="XEC480" s="539"/>
      <c r="XED480" s="539"/>
      <c r="XEE480" s="539"/>
      <c r="XEF480" s="539"/>
      <c r="XEG480" s="539"/>
    </row>
    <row r="481" ht="15.95" customHeight="1" spans="1:16361">
      <c r="A481" s="123"/>
      <c r="B481" s="406" t="s">
        <v>360</v>
      </c>
      <c r="C481" s="123" t="s">
        <v>193</v>
      </c>
      <c r="D481" s="596">
        <v>22</v>
      </c>
      <c r="E481" s="596">
        <v>220</v>
      </c>
      <c r="F481" s="597">
        <v>4840</v>
      </c>
      <c r="G481" s="298">
        <v>14</v>
      </c>
      <c r="H481" s="425">
        <v>220</v>
      </c>
      <c r="I481" s="426">
        <f t="shared" si="68"/>
        <v>3080</v>
      </c>
      <c r="J481" s="437">
        <f t="shared" si="59"/>
        <v>3080</v>
      </c>
      <c r="K481" s="605"/>
      <c r="L481" s="605" t="s">
        <v>360</v>
      </c>
      <c r="M481" s="605" t="s">
        <v>193</v>
      </c>
      <c r="N481" s="606">
        <v>14</v>
      </c>
      <c r="O481" s="606">
        <v>1</v>
      </c>
      <c r="P481" s="606">
        <v>14</v>
      </c>
      <c r="XDO481" s="539"/>
      <c r="XDP481" s="539"/>
      <c r="XDQ481" s="539"/>
      <c r="XDR481" s="539"/>
      <c r="XDS481" s="539"/>
      <c r="XDY481" s="539"/>
      <c r="XDZ481" s="539"/>
      <c r="XEA481" s="539"/>
      <c r="XEB481" s="539"/>
      <c r="XEC481" s="539"/>
      <c r="XED481" s="539"/>
      <c r="XEE481" s="539"/>
      <c r="XEF481" s="539"/>
      <c r="XEG481" s="539"/>
    </row>
    <row r="482" ht="15.95" customHeight="1" spans="1:16361">
      <c r="A482" s="123" t="s">
        <v>248</v>
      </c>
      <c r="B482" s="406" t="s">
        <v>361</v>
      </c>
      <c r="C482" s="123" t="s">
        <v>193</v>
      </c>
      <c r="D482" s="596">
        <v>22</v>
      </c>
      <c r="E482" s="596">
        <v>220</v>
      </c>
      <c r="F482" s="597">
        <v>4840</v>
      </c>
      <c r="G482" s="298">
        <f>G481</f>
        <v>14</v>
      </c>
      <c r="H482" s="425">
        <f>H481</f>
        <v>220</v>
      </c>
      <c r="I482" s="426">
        <f t="shared" si="68"/>
        <v>3080</v>
      </c>
      <c r="J482" s="437">
        <f>G482*H482</f>
        <v>3080</v>
      </c>
      <c r="K482" s="605" t="s">
        <v>248</v>
      </c>
      <c r="L482" s="605" t="s">
        <v>361</v>
      </c>
      <c r="M482" s="605" t="s">
        <v>193</v>
      </c>
      <c r="N482" s="606">
        <v>14</v>
      </c>
      <c r="O482" s="606">
        <v>1</v>
      </c>
      <c r="P482" s="606">
        <v>14</v>
      </c>
      <c r="XDO482" s="539"/>
      <c r="XDP482" s="539"/>
      <c r="XDQ482" s="539"/>
      <c r="XDR482" s="539"/>
      <c r="XDS482" s="539"/>
      <c r="XDY482" s="539"/>
      <c r="XDZ482" s="539"/>
      <c r="XEA482" s="539"/>
      <c r="XEB482" s="539"/>
      <c r="XEC482" s="539"/>
      <c r="XED482" s="539"/>
      <c r="XEE482" s="539"/>
      <c r="XEF482" s="539"/>
      <c r="XEG482" s="539"/>
    </row>
    <row r="483" ht="15.95" customHeight="1" spans="1:16361">
      <c r="A483" s="123" t="s">
        <v>248</v>
      </c>
      <c r="B483" s="406" t="s">
        <v>406</v>
      </c>
      <c r="C483" s="123" t="s">
        <v>363</v>
      </c>
      <c r="D483" s="596">
        <v>11</v>
      </c>
      <c r="E483" s="596">
        <v>3500</v>
      </c>
      <c r="F483" s="597">
        <v>38500</v>
      </c>
      <c r="G483" s="298">
        <f>G482</f>
        <v>14</v>
      </c>
      <c r="H483" s="425">
        <v>3000</v>
      </c>
      <c r="I483" s="426">
        <f t="shared" si="68"/>
        <v>42000</v>
      </c>
      <c r="J483" s="437">
        <f t="shared" ref="J483:J507" si="69">G483*H483</f>
        <v>42000</v>
      </c>
      <c r="K483" s="605" t="s">
        <v>248</v>
      </c>
      <c r="L483" s="605" t="s">
        <v>406</v>
      </c>
      <c r="M483" s="605" t="s">
        <v>363</v>
      </c>
      <c r="N483" s="606">
        <v>14</v>
      </c>
      <c r="O483" s="606">
        <v>1</v>
      </c>
      <c r="P483" s="606">
        <v>14</v>
      </c>
      <c r="XDO483" s="539"/>
      <c r="XDP483" s="539"/>
      <c r="XDQ483" s="539"/>
      <c r="XDR483" s="539"/>
      <c r="XDS483" s="539"/>
      <c r="XDY483" s="539"/>
      <c r="XDZ483" s="539"/>
      <c r="XEA483" s="539"/>
      <c r="XEB483" s="539"/>
      <c r="XEC483" s="539"/>
      <c r="XED483" s="539"/>
      <c r="XEE483" s="539"/>
      <c r="XEF483" s="539"/>
      <c r="XEG483" s="539"/>
    </row>
    <row r="484" ht="15.95" customHeight="1" spans="1:16361">
      <c r="A484" s="485" t="s">
        <v>415</v>
      </c>
      <c r="B484" s="406" t="s">
        <v>365</v>
      </c>
      <c r="C484" s="123"/>
      <c r="D484" s="596"/>
      <c r="E484" s="596"/>
      <c r="F484" s="597">
        <v>18611.986065056</v>
      </c>
      <c r="G484" s="298"/>
      <c r="H484" s="425"/>
      <c r="I484" s="426">
        <f>I485+I488+I489+I492</f>
        <v>18611.3021235495</v>
      </c>
      <c r="J484" s="437">
        <f t="shared" si="69"/>
        <v>0</v>
      </c>
      <c r="K484" s="608" t="s">
        <v>366</v>
      </c>
      <c r="L484" s="605" t="s">
        <v>365</v>
      </c>
      <c r="M484" s="605"/>
      <c r="N484" s="606"/>
      <c r="O484" s="606"/>
      <c r="P484" s="606"/>
      <c r="XDO484" s="539"/>
      <c r="XDP484" s="539"/>
      <c r="XDQ484" s="539"/>
      <c r="XDR484" s="539"/>
      <c r="XDS484" s="539"/>
      <c r="XDY484" s="539"/>
      <c r="XDZ484" s="539"/>
      <c r="XEA484" s="539"/>
      <c r="XEB484" s="539"/>
      <c r="XEC484" s="539"/>
      <c r="XED484" s="539"/>
      <c r="XEE484" s="539"/>
      <c r="XEF484" s="539"/>
      <c r="XEG484" s="539"/>
    </row>
    <row r="485" ht="15.95" customHeight="1" spans="1:16361">
      <c r="A485" s="123" t="s">
        <v>329</v>
      </c>
      <c r="B485" s="406" t="s">
        <v>330</v>
      </c>
      <c r="C485" s="123"/>
      <c r="D485" s="596"/>
      <c r="E485" s="596"/>
      <c r="F485" s="597">
        <v>626.652</v>
      </c>
      <c r="G485" s="298"/>
      <c r="H485" s="425"/>
      <c r="I485" s="426">
        <f>SUM(I486:I487)</f>
        <v>626.652</v>
      </c>
      <c r="J485" s="437">
        <f t="shared" si="69"/>
        <v>0</v>
      </c>
      <c r="K485" s="605" t="s">
        <v>329</v>
      </c>
      <c r="L485" s="605" t="s">
        <v>330</v>
      </c>
      <c r="M485" s="605" t="s">
        <v>248</v>
      </c>
      <c r="N485" s="605"/>
      <c r="O485" s="606"/>
      <c r="P485" s="606"/>
      <c r="XDO485" s="539"/>
      <c r="XDP485" s="539"/>
      <c r="XDQ485" s="539"/>
      <c r="XDR485" s="539"/>
      <c r="XDS485" s="539"/>
      <c r="XDY485" s="539"/>
      <c r="XDZ485" s="539"/>
      <c r="XEA485" s="539"/>
      <c r="XEB485" s="539"/>
      <c r="XEC485" s="539"/>
      <c r="XED485" s="539"/>
      <c r="XEE485" s="539"/>
      <c r="XEF485" s="539"/>
      <c r="XEG485" s="539"/>
    </row>
    <row r="486" ht="15.95" customHeight="1" spans="1:16361">
      <c r="A486" s="485"/>
      <c r="B486" s="487" t="s">
        <v>367</v>
      </c>
      <c r="C486" s="480" t="s">
        <v>167</v>
      </c>
      <c r="D486" s="589">
        <v>61.8</v>
      </c>
      <c r="E486" s="589">
        <v>6.89</v>
      </c>
      <c r="F486" s="590">
        <v>425.802</v>
      </c>
      <c r="G486" s="298">
        <v>61.8</v>
      </c>
      <c r="H486" s="425">
        <f>管材!L10</f>
        <v>6.89</v>
      </c>
      <c r="I486" s="426">
        <f t="shared" ref="I486:I488" si="70">G486*H486</f>
        <v>425.802</v>
      </c>
      <c r="J486" s="437">
        <f t="shared" si="69"/>
        <v>425.802</v>
      </c>
      <c r="K486" s="608"/>
      <c r="L486" s="605" t="s">
        <v>367</v>
      </c>
      <c r="M486" s="606" t="s">
        <v>167</v>
      </c>
      <c r="N486" s="606">
        <v>60</v>
      </c>
      <c r="O486" s="606">
        <v>1.03</v>
      </c>
      <c r="P486" s="606">
        <v>61.8</v>
      </c>
      <c r="XDO486" s="539"/>
      <c r="XDP486" s="539"/>
      <c r="XDQ486" s="539"/>
      <c r="XDR486" s="539"/>
      <c r="XDS486" s="539"/>
      <c r="XDY486" s="539"/>
      <c r="XDZ486" s="539"/>
      <c r="XEA486" s="539"/>
      <c r="XEB486" s="539"/>
      <c r="XEC486" s="539"/>
      <c r="XED486" s="539"/>
      <c r="XEE486" s="539"/>
      <c r="XEF486" s="539"/>
      <c r="XEG486" s="539"/>
    </row>
    <row r="487" ht="15.95" customHeight="1" spans="1:16361">
      <c r="A487" s="485"/>
      <c r="B487" s="487" t="s">
        <v>368</v>
      </c>
      <c r="C487" s="480" t="s">
        <v>167</v>
      </c>
      <c r="D487" s="589">
        <v>61.8</v>
      </c>
      <c r="E487" s="589">
        <v>3.25</v>
      </c>
      <c r="F487" s="590">
        <v>200.85</v>
      </c>
      <c r="G487" s="298">
        <f>G486</f>
        <v>61.8</v>
      </c>
      <c r="H487" s="425">
        <v>3.25</v>
      </c>
      <c r="I487" s="426">
        <f t="shared" si="70"/>
        <v>200.85</v>
      </c>
      <c r="J487" s="437">
        <f t="shared" si="69"/>
        <v>200.85</v>
      </c>
      <c r="K487" s="608"/>
      <c r="L487" s="605" t="s">
        <v>370</v>
      </c>
      <c r="M487" s="606" t="s">
        <v>167</v>
      </c>
      <c r="N487" s="606">
        <v>60</v>
      </c>
      <c r="O487" s="606">
        <v>1.03</v>
      </c>
      <c r="P487" s="606">
        <v>61.8</v>
      </c>
      <c r="XDO487" s="539"/>
      <c r="XDP487" s="539"/>
      <c r="XDQ487" s="539"/>
      <c r="XDR487" s="539"/>
      <c r="XDS487" s="539"/>
      <c r="XDY487" s="539"/>
      <c r="XDZ487" s="539"/>
      <c r="XEA487" s="539"/>
      <c r="XEB487" s="539"/>
      <c r="XEC487" s="539"/>
      <c r="XED487" s="539"/>
      <c r="XEE487" s="539"/>
      <c r="XEF487" s="539"/>
      <c r="XEG487" s="539"/>
    </row>
    <row r="488" ht="15.95" customHeight="1" spans="1:16361">
      <c r="A488" s="486">
        <v>-2</v>
      </c>
      <c r="B488" s="406" t="s">
        <v>369</v>
      </c>
      <c r="C488" s="484" t="s">
        <v>336</v>
      </c>
      <c r="D488" s="596">
        <v>0.1</v>
      </c>
      <c r="E488" s="596">
        <v>425.802</v>
      </c>
      <c r="F488" s="597">
        <v>42.5802</v>
      </c>
      <c r="G488" s="484">
        <v>0.1</v>
      </c>
      <c r="H488" s="425">
        <f>I486</f>
        <v>425.802</v>
      </c>
      <c r="I488" s="426">
        <f t="shared" si="70"/>
        <v>42.5802</v>
      </c>
      <c r="J488" s="437">
        <f t="shared" si="69"/>
        <v>42.5802</v>
      </c>
      <c r="K488" s="605" t="s">
        <v>334</v>
      </c>
      <c r="L488" s="605" t="s">
        <v>369</v>
      </c>
      <c r="M488" s="607">
        <v>0.1</v>
      </c>
      <c r="N488" s="606"/>
      <c r="O488" s="606"/>
      <c r="P488" s="606"/>
      <c r="XDO488" s="539"/>
      <c r="XDP488" s="539"/>
      <c r="XDQ488" s="539"/>
      <c r="XDR488" s="539"/>
      <c r="XDS488" s="539"/>
      <c r="XDY488" s="539"/>
      <c r="XDZ488" s="539"/>
      <c r="XEA488" s="539"/>
      <c r="XEB488" s="539"/>
      <c r="XEC488" s="539"/>
      <c r="XED488" s="539"/>
      <c r="XEE488" s="539"/>
      <c r="XEF488" s="539"/>
      <c r="XEG488" s="539"/>
    </row>
    <row r="489" ht="15.95" customHeight="1" spans="1:16361">
      <c r="A489" s="123" t="s">
        <v>337</v>
      </c>
      <c r="B489" s="406" t="s">
        <v>338</v>
      </c>
      <c r="C489" s="484"/>
      <c r="D489" s="596"/>
      <c r="E489" s="596"/>
      <c r="F489" s="597">
        <v>562.869456</v>
      </c>
      <c r="G489" s="484"/>
      <c r="H489" s="425"/>
      <c r="I489" s="426">
        <f>SUM(I490:I491)</f>
        <v>562.869456</v>
      </c>
      <c r="J489" s="437">
        <f t="shared" si="69"/>
        <v>0</v>
      </c>
      <c r="K489" s="605" t="s">
        <v>337</v>
      </c>
      <c r="L489" s="605" t="s">
        <v>338</v>
      </c>
      <c r="M489" s="605" t="s">
        <v>248</v>
      </c>
      <c r="N489" s="605"/>
      <c r="O489" s="606"/>
      <c r="P489" s="606"/>
      <c r="XDO489" s="539"/>
      <c r="XDP489" s="539"/>
      <c r="XDQ489" s="539"/>
      <c r="XDR489" s="539"/>
      <c r="XDS489" s="539"/>
      <c r="XDY489" s="539"/>
      <c r="XDZ489" s="539"/>
      <c r="XEA489" s="539"/>
      <c r="XEB489" s="539"/>
      <c r="XEC489" s="539"/>
      <c r="XED489" s="539"/>
      <c r="XEE489" s="539"/>
      <c r="XEF489" s="539"/>
      <c r="XEG489" s="539"/>
    </row>
    <row r="490" ht="15.95" customHeight="1" spans="1:16361">
      <c r="A490" s="485"/>
      <c r="B490" s="406" t="s">
        <v>339</v>
      </c>
      <c r="C490" s="123" t="s">
        <v>307</v>
      </c>
      <c r="D490" s="596">
        <v>84.048</v>
      </c>
      <c r="E490" s="596">
        <v>3.98</v>
      </c>
      <c r="F490" s="597">
        <v>334.51104</v>
      </c>
      <c r="G490" s="298">
        <v>84.048</v>
      </c>
      <c r="H490" s="425">
        <f>H461</f>
        <v>3.98</v>
      </c>
      <c r="I490" s="426">
        <f t="shared" ref="I490:I498" si="71">G490*H490</f>
        <v>334.51104</v>
      </c>
      <c r="J490" s="437">
        <f t="shared" si="69"/>
        <v>334.51104</v>
      </c>
      <c r="K490" s="608"/>
      <c r="L490" s="605" t="s">
        <v>339</v>
      </c>
      <c r="M490" s="605" t="s">
        <v>307</v>
      </c>
      <c r="N490" s="606">
        <v>81.6</v>
      </c>
      <c r="O490" s="606">
        <v>1.03</v>
      </c>
      <c r="P490" s="606">
        <v>84.048</v>
      </c>
      <c r="XDO490" s="539"/>
      <c r="XDP490" s="539"/>
      <c r="XDQ490" s="539"/>
      <c r="XDR490" s="539"/>
      <c r="XDS490" s="539"/>
      <c r="XDY490" s="539"/>
      <c r="XDZ490" s="539"/>
      <c r="XEA490" s="539"/>
      <c r="XEB490" s="539"/>
      <c r="XEC490" s="539"/>
      <c r="XED490" s="539"/>
      <c r="XEE490" s="539"/>
      <c r="XEF490" s="539"/>
      <c r="XEG490" s="539"/>
    </row>
    <row r="491" ht="15.95" customHeight="1" spans="1:16361">
      <c r="A491" s="485"/>
      <c r="B491" s="406" t="s">
        <v>340</v>
      </c>
      <c r="C491" s="123" t="s">
        <v>307</v>
      </c>
      <c r="D491" s="596">
        <v>79.8456</v>
      </c>
      <c r="E491" s="596">
        <v>2.86</v>
      </c>
      <c r="F491" s="597">
        <v>228.358416</v>
      </c>
      <c r="G491" s="298">
        <v>79.8456</v>
      </c>
      <c r="H491" s="425">
        <f>H462</f>
        <v>2.86</v>
      </c>
      <c r="I491" s="426">
        <f t="shared" si="71"/>
        <v>228.358416</v>
      </c>
      <c r="J491" s="437">
        <f t="shared" si="69"/>
        <v>228.358416</v>
      </c>
      <c r="K491" s="608"/>
      <c r="L491" s="605" t="s">
        <v>340</v>
      </c>
      <c r="M491" s="605" t="s">
        <v>307</v>
      </c>
      <c r="N491" s="606">
        <v>77.52</v>
      </c>
      <c r="O491" s="606">
        <v>1.03</v>
      </c>
      <c r="P491" s="606">
        <v>79.8456</v>
      </c>
      <c r="XDO491" s="539"/>
      <c r="XDP491" s="539"/>
      <c r="XDQ491" s="539"/>
      <c r="XDR491" s="539"/>
      <c r="XDS491" s="539"/>
      <c r="XDY491" s="539"/>
      <c r="XDZ491" s="539"/>
      <c r="XEA491" s="539"/>
      <c r="XEB491" s="539"/>
      <c r="XEC491" s="539"/>
      <c r="XED491" s="539"/>
      <c r="XEE491" s="539"/>
      <c r="XEF491" s="539"/>
      <c r="XEG491" s="539"/>
    </row>
    <row r="492" ht="15.95" customHeight="1" spans="1:16361">
      <c r="A492" s="486">
        <v>-4</v>
      </c>
      <c r="B492" s="406" t="s">
        <v>371</v>
      </c>
      <c r="C492" s="123" t="s">
        <v>193</v>
      </c>
      <c r="D492" s="596">
        <v>12</v>
      </c>
      <c r="E492" s="596"/>
      <c r="F492" s="597">
        <v>17379.884409056</v>
      </c>
      <c r="G492" s="298">
        <v>12</v>
      </c>
      <c r="H492" s="425"/>
      <c r="I492" s="426">
        <f>SUM(I493:I498)</f>
        <v>17379.2004675495</v>
      </c>
      <c r="J492" s="437">
        <f t="shared" si="69"/>
        <v>0</v>
      </c>
      <c r="K492" s="605" t="s">
        <v>342</v>
      </c>
      <c r="L492" s="605" t="s">
        <v>371</v>
      </c>
      <c r="M492" s="605" t="s">
        <v>193</v>
      </c>
      <c r="N492" s="606">
        <v>12</v>
      </c>
      <c r="O492" s="606">
        <v>1</v>
      </c>
      <c r="P492" s="606">
        <v>12</v>
      </c>
      <c r="XDO492" s="539"/>
      <c r="XDP492" s="539"/>
      <c r="XDQ492" s="539"/>
      <c r="XDR492" s="539"/>
      <c r="XDS492" s="539"/>
      <c r="XDY492" s="539"/>
      <c r="XDZ492" s="539"/>
      <c r="XEA492" s="539"/>
      <c r="XEB492" s="539"/>
      <c r="XEC492" s="539"/>
      <c r="XED492" s="539"/>
      <c r="XEE492" s="539"/>
      <c r="XEF492" s="539"/>
      <c r="XEG492" s="539"/>
    </row>
    <row r="493" ht="22.5" customHeight="1" spans="1:16361">
      <c r="A493" s="485" t="s">
        <v>248</v>
      </c>
      <c r="B493" s="406" t="s">
        <v>372</v>
      </c>
      <c r="C493" s="123" t="s">
        <v>305</v>
      </c>
      <c r="D493" s="596">
        <v>12</v>
      </c>
      <c r="E493" s="596">
        <v>1000</v>
      </c>
      <c r="F493" s="597">
        <v>12000</v>
      </c>
      <c r="G493" s="298">
        <f>G492</f>
        <v>12</v>
      </c>
      <c r="H493" s="425">
        <f t="shared" ref="H493:H498" si="72">H438</f>
        <v>1000</v>
      </c>
      <c r="I493" s="426">
        <f t="shared" si="71"/>
        <v>12000</v>
      </c>
      <c r="J493" s="437">
        <f t="shared" si="69"/>
        <v>12000</v>
      </c>
      <c r="K493" s="608" t="s">
        <v>248</v>
      </c>
      <c r="L493" s="605" t="s">
        <v>372</v>
      </c>
      <c r="M493" s="605" t="s">
        <v>305</v>
      </c>
      <c r="N493" s="605">
        <v>12</v>
      </c>
      <c r="O493" s="606">
        <v>1</v>
      </c>
      <c r="P493" s="606">
        <v>12</v>
      </c>
      <c r="XDO493" s="539"/>
      <c r="XDP493" s="539"/>
      <c r="XDQ493" s="539"/>
      <c r="XDR493" s="539"/>
      <c r="XDS493" s="539"/>
      <c r="XDY493" s="539"/>
      <c r="XDZ493" s="539"/>
      <c r="XEA493" s="539"/>
      <c r="XEB493" s="539"/>
      <c r="XEC493" s="539"/>
      <c r="XED493" s="539"/>
      <c r="XEE493" s="539"/>
      <c r="XEF493" s="539"/>
      <c r="XEG493" s="539"/>
    </row>
    <row r="494" ht="15.95" customHeight="1" spans="1:16361">
      <c r="A494" s="485" t="s">
        <v>248</v>
      </c>
      <c r="B494" s="406" t="s">
        <v>373</v>
      </c>
      <c r="C494" s="123" t="s">
        <v>307</v>
      </c>
      <c r="D494" s="596">
        <v>7.3</v>
      </c>
      <c r="E494" s="596">
        <v>559.323847944922</v>
      </c>
      <c r="F494" s="597">
        <v>4083.06408999793</v>
      </c>
      <c r="G494" s="298">
        <v>7.3</v>
      </c>
      <c r="H494" s="425">
        <f t="shared" si="72"/>
        <v>559.23015732759</v>
      </c>
      <c r="I494" s="426">
        <f t="shared" si="71"/>
        <v>4082.38014849141</v>
      </c>
      <c r="J494" s="437">
        <f t="shared" si="69"/>
        <v>4082.38014849141</v>
      </c>
      <c r="K494" s="608" t="s">
        <v>248</v>
      </c>
      <c r="L494" s="605" t="s">
        <v>373</v>
      </c>
      <c r="M494" s="605" t="s">
        <v>307</v>
      </c>
      <c r="N494" s="606">
        <v>7.0906224</v>
      </c>
      <c r="O494" s="606">
        <v>1.03</v>
      </c>
      <c r="P494" s="606">
        <v>7.303341072</v>
      </c>
      <c r="XDO494" s="539"/>
      <c r="XDP494" s="539"/>
      <c r="XDQ494" s="539"/>
      <c r="XDR494" s="539"/>
      <c r="XDS494" s="539"/>
      <c r="XDY494" s="539"/>
      <c r="XDZ494" s="539"/>
      <c r="XEA494" s="539"/>
      <c r="XEB494" s="539"/>
      <c r="XEC494" s="539"/>
      <c r="XED494" s="539"/>
      <c r="XEE494" s="539"/>
      <c r="XEF494" s="539"/>
      <c r="XEG494" s="539"/>
    </row>
    <row r="495" ht="15.95" customHeight="1" spans="1:16361">
      <c r="A495" s="123" t="s">
        <v>248</v>
      </c>
      <c r="B495" s="406" t="s">
        <v>374</v>
      </c>
      <c r="C495" s="123" t="s">
        <v>307</v>
      </c>
      <c r="D495" s="596">
        <v>0.7</v>
      </c>
      <c r="E495" s="596">
        <v>128.489047091908</v>
      </c>
      <c r="F495" s="597">
        <v>89.9423329643356</v>
      </c>
      <c r="G495" s="298">
        <v>0.7</v>
      </c>
      <c r="H495" s="425">
        <f t="shared" si="72"/>
        <v>128.489047091908</v>
      </c>
      <c r="I495" s="426">
        <f t="shared" si="71"/>
        <v>89.9423329643356</v>
      </c>
      <c r="J495" s="437">
        <f t="shared" si="69"/>
        <v>89.9423329643356</v>
      </c>
      <c r="K495" s="605" t="s">
        <v>248</v>
      </c>
      <c r="L495" s="605" t="s">
        <v>374</v>
      </c>
      <c r="M495" s="605" t="s">
        <v>307</v>
      </c>
      <c r="N495" s="606">
        <v>0.67824</v>
      </c>
      <c r="O495" s="606">
        <v>1.03</v>
      </c>
      <c r="P495" s="606">
        <v>0.6985872</v>
      </c>
      <c r="XDO495" s="539"/>
      <c r="XDP495" s="539"/>
      <c r="XDQ495" s="539"/>
      <c r="XDR495" s="539"/>
      <c r="XDS495" s="539"/>
      <c r="XDY495" s="539"/>
      <c r="XDZ495" s="539"/>
      <c r="XEA495" s="539"/>
      <c r="XEB495" s="539"/>
      <c r="XEC495" s="539"/>
      <c r="XED495" s="539"/>
      <c r="XEE495" s="539"/>
      <c r="XEF495" s="539"/>
      <c r="XEG495" s="539"/>
    </row>
    <row r="496" ht="15.95" customHeight="1" spans="1:16361">
      <c r="A496" s="123" t="s">
        <v>248</v>
      </c>
      <c r="B496" s="406" t="s">
        <v>375</v>
      </c>
      <c r="C496" s="123" t="s">
        <v>305</v>
      </c>
      <c r="D496" s="596">
        <v>12</v>
      </c>
      <c r="E496" s="596">
        <v>50</v>
      </c>
      <c r="F496" s="597">
        <v>600</v>
      </c>
      <c r="G496" s="298">
        <f>G492</f>
        <v>12</v>
      </c>
      <c r="H496" s="425">
        <f t="shared" si="72"/>
        <v>50</v>
      </c>
      <c r="I496" s="426">
        <f t="shared" si="71"/>
        <v>600</v>
      </c>
      <c r="J496" s="437">
        <f t="shared" si="69"/>
        <v>600</v>
      </c>
      <c r="K496" s="605" t="s">
        <v>248</v>
      </c>
      <c r="L496" s="605" t="s">
        <v>375</v>
      </c>
      <c r="M496" s="605" t="s">
        <v>200</v>
      </c>
      <c r="N496" s="606">
        <v>0.72</v>
      </c>
      <c r="O496" s="606">
        <v>1.03</v>
      </c>
      <c r="P496" s="606">
        <v>0.7416</v>
      </c>
      <c r="XDO496" s="539"/>
      <c r="XDP496" s="539"/>
      <c r="XDQ496" s="539"/>
      <c r="XDR496" s="539"/>
      <c r="XDS496" s="539"/>
      <c r="XDY496" s="539"/>
      <c r="XDZ496" s="539"/>
      <c r="XEA496" s="539"/>
      <c r="XEB496" s="539"/>
      <c r="XEC496" s="539"/>
      <c r="XED496" s="539"/>
      <c r="XEE496" s="539"/>
      <c r="XEF496" s="539"/>
      <c r="XEG496" s="539"/>
    </row>
    <row r="497" ht="15.95" customHeight="1" spans="1:16361">
      <c r="A497" s="123" t="s">
        <v>248</v>
      </c>
      <c r="B497" s="406" t="s">
        <v>376</v>
      </c>
      <c r="C497" s="123" t="s">
        <v>307</v>
      </c>
      <c r="D497" s="596">
        <v>0.32</v>
      </c>
      <c r="E497" s="596">
        <v>583.993706543077</v>
      </c>
      <c r="F497" s="597">
        <v>186.877986093785</v>
      </c>
      <c r="G497" s="298">
        <v>0.32</v>
      </c>
      <c r="H497" s="425">
        <f t="shared" si="72"/>
        <v>583.993706543077</v>
      </c>
      <c r="I497" s="426">
        <f t="shared" si="71"/>
        <v>186.877986093785</v>
      </c>
      <c r="J497" s="437">
        <f t="shared" si="69"/>
        <v>186.877986093785</v>
      </c>
      <c r="K497" s="605" t="s">
        <v>248</v>
      </c>
      <c r="L497" s="605" t="s">
        <v>376</v>
      </c>
      <c r="M497" s="605" t="s">
        <v>307</v>
      </c>
      <c r="N497" s="606">
        <v>0.312</v>
      </c>
      <c r="O497" s="606">
        <v>1.03</v>
      </c>
      <c r="P497" s="606">
        <v>0.32136</v>
      </c>
      <c r="XDO497" s="539"/>
      <c r="XDP497" s="539"/>
      <c r="XDQ497" s="539"/>
      <c r="XDR497" s="539"/>
      <c r="XDS497" s="539"/>
      <c r="XDY497" s="539"/>
      <c r="XDZ497" s="539"/>
      <c r="XEA497" s="539"/>
      <c r="XEB497" s="539"/>
      <c r="XEC497" s="539"/>
      <c r="XED497" s="539"/>
      <c r="XEE497" s="539"/>
      <c r="XEF497" s="539"/>
      <c r="XEG497" s="539"/>
    </row>
    <row r="498" ht="15.95" customHeight="1" spans="1:16361">
      <c r="A498" s="123" t="s">
        <v>248</v>
      </c>
      <c r="B498" s="406" t="s">
        <v>377</v>
      </c>
      <c r="C498" s="123" t="s">
        <v>363</v>
      </c>
      <c r="D498" s="596">
        <v>12</v>
      </c>
      <c r="E498" s="596">
        <v>35</v>
      </c>
      <c r="F498" s="597">
        <v>420</v>
      </c>
      <c r="G498" s="298">
        <f>G492</f>
        <v>12</v>
      </c>
      <c r="H498" s="425">
        <f t="shared" si="72"/>
        <v>35</v>
      </c>
      <c r="I498" s="426">
        <f t="shared" si="71"/>
        <v>420</v>
      </c>
      <c r="J498" s="437">
        <f t="shared" si="69"/>
        <v>420</v>
      </c>
      <c r="K498" s="605" t="s">
        <v>248</v>
      </c>
      <c r="L498" s="605" t="s">
        <v>377</v>
      </c>
      <c r="M498" s="605" t="s">
        <v>363</v>
      </c>
      <c r="N498" s="605">
        <v>12</v>
      </c>
      <c r="O498" s="606">
        <v>1</v>
      </c>
      <c r="P498" s="606">
        <v>12</v>
      </c>
      <c r="XDO498" s="539"/>
      <c r="XDP498" s="539"/>
      <c r="XDQ498" s="539"/>
      <c r="XDR498" s="539"/>
      <c r="XDS498" s="539"/>
      <c r="XDY498" s="539"/>
      <c r="XDZ498" s="539"/>
      <c r="XEA498" s="539"/>
      <c r="XEB498" s="539"/>
      <c r="XEC498" s="539"/>
      <c r="XED498" s="539"/>
      <c r="XEE498" s="539"/>
      <c r="XEF498" s="539"/>
      <c r="XEG498" s="539"/>
    </row>
    <row r="499" ht="15.95" customHeight="1" spans="1:16361">
      <c r="A499" s="123" t="s">
        <v>416</v>
      </c>
      <c r="B499" s="406" t="s">
        <v>379</v>
      </c>
      <c r="C499" s="123" t="s">
        <v>248</v>
      </c>
      <c r="D499" s="596"/>
      <c r="E499" s="596"/>
      <c r="F499" s="597">
        <v>142825.314</v>
      </c>
      <c r="G499" s="298"/>
      <c r="H499" s="425"/>
      <c r="I499" s="426">
        <f>SUM(I500:I504)</f>
        <v>163605.612</v>
      </c>
      <c r="J499" s="437">
        <f t="shared" si="69"/>
        <v>0</v>
      </c>
      <c r="K499" s="605">
        <v>4</v>
      </c>
      <c r="L499" s="605" t="s">
        <v>379</v>
      </c>
      <c r="M499" s="605" t="s">
        <v>248</v>
      </c>
      <c r="N499" s="605"/>
      <c r="O499" s="606"/>
      <c r="P499" s="606"/>
      <c r="XDO499" s="539"/>
      <c r="XDP499" s="539"/>
      <c r="XDQ499" s="539"/>
      <c r="XDR499" s="539"/>
      <c r="XDS499" s="539"/>
      <c r="XDY499" s="539"/>
      <c r="XDZ499" s="539"/>
      <c r="XEA499" s="539"/>
      <c r="XEB499" s="539"/>
      <c r="XEC499" s="539"/>
      <c r="XED499" s="539"/>
      <c r="XEE499" s="539"/>
      <c r="XEF499" s="539"/>
      <c r="XEG499" s="539"/>
    </row>
    <row r="500" ht="15.95" customHeight="1" spans="1:16361">
      <c r="A500" s="123"/>
      <c r="B500" s="487" t="s">
        <v>380</v>
      </c>
      <c r="C500" s="480" t="s">
        <v>167</v>
      </c>
      <c r="D500" s="589">
        <v>11495</v>
      </c>
      <c r="E500" s="589">
        <v>9.36</v>
      </c>
      <c r="F500" s="590">
        <v>107593.2</v>
      </c>
      <c r="G500" s="298">
        <v>12212</v>
      </c>
      <c r="H500" s="425">
        <f>H445</f>
        <v>9.36</v>
      </c>
      <c r="I500" s="426">
        <f t="shared" ref="I500:I504" si="73">G500*H500</f>
        <v>114304.32</v>
      </c>
      <c r="J500" s="437">
        <f t="shared" si="69"/>
        <v>114304.32</v>
      </c>
      <c r="K500" s="608"/>
      <c r="L500" s="605" t="s">
        <v>380</v>
      </c>
      <c r="M500" s="606" t="s">
        <v>167</v>
      </c>
      <c r="N500" s="606">
        <v>11856</v>
      </c>
      <c r="O500" s="606">
        <v>1.03</v>
      </c>
      <c r="P500" s="606">
        <v>12211.68</v>
      </c>
      <c r="XDO500" s="539"/>
      <c r="XDP500" s="539"/>
      <c r="XDQ500" s="539"/>
      <c r="XDR500" s="539"/>
      <c r="XDS500" s="539"/>
      <c r="XDY500" s="539"/>
      <c r="XDZ500" s="539"/>
      <c r="XEA500" s="539"/>
      <c r="XEB500" s="539"/>
      <c r="XEC500" s="539"/>
      <c r="XED500" s="539"/>
      <c r="XEE500" s="539"/>
      <c r="XEF500" s="539"/>
      <c r="XEG500" s="539"/>
    </row>
    <row r="501" ht="15.95" customHeight="1" spans="1:16361">
      <c r="A501" s="123"/>
      <c r="B501" s="406" t="s">
        <v>381</v>
      </c>
      <c r="C501" s="123" t="s">
        <v>167</v>
      </c>
      <c r="D501" s="596">
        <v>2039</v>
      </c>
      <c r="E501" s="596">
        <v>1.86</v>
      </c>
      <c r="F501" s="597">
        <v>3792.54</v>
      </c>
      <c r="G501" s="298">
        <v>2410</v>
      </c>
      <c r="H501" s="425">
        <f>H446</f>
        <v>1.86</v>
      </c>
      <c r="I501" s="426">
        <f t="shared" si="73"/>
        <v>4482.6</v>
      </c>
      <c r="J501" s="437">
        <f t="shared" si="69"/>
        <v>4482.6</v>
      </c>
      <c r="K501" s="605" t="s">
        <v>248</v>
      </c>
      <c r="L501" s="605" t="s">
        <v>381</v>
      </c>
      <c r="M501" s="605" t="s">
        <v>167</v>
      </c>
      <c r="N501" s="605">
        <v>2340</v>
      </c>
      <c r="O501" s="606">
        <v>1.03</v>
      </c>
      <c r="P501" s="606">
        <v>2410.2</v>
      </c>
      <c r="XDO501" s="539"/>
      <c r="XDP501" s="539"/>
      <c r="XDQ501" s="539"/>
      <c r="XDR501" s="539"/>
      <c r="XDS501" s="539"/>
      <c r="XDY501" s="539"/>
      <c r="XDZ501" s="539"/>
      <c r="XEA501" s="539"/>
      <c r="XEB501" s="539"/>
      <c r="XEC501" s="539"/>
      <c r="XED501" s="539"/>
      <c r="XEE501" s="539"/>
      <c r="XEF501" s="539"/>
      <c r="XEG501" s="539"/>
    </row>
    <row r="502" ht="15.95" customHeight="1" spans="1:16361">
      <c r="A502" s="598"/>
      <c r="B502" s="599" t="s">
        <v>382</v>
      </c>
      <c r="C502" s="598" t="s">
        <v>167</v>
      </c>
      <c r="D502" s="600"/>
      <c r="E502" s="600"/>
      <c r="F502" s="601"/>
      <c r="G502" s="602">
        <f>G500</f>
        <v>12212</v>
      </c>
      <c r="H502" s="603">
        <f>H447</f>
        <v>2.5</v>
      </c>
      <c r="I502" s="609">
        <f t="shared" si="73"/>
        <v>30530</v>
      </c>
      <c r="J502" s="437">
        <f t="shared" si="69"/>
        <v>30530</v>
      </c>
      <c r="K502" s="605"/>
      <c r="L502" s="605" t="s">
        <v>384</v>
      </c>
      <c r="M502" s="605" t="s">
        <v>167</v>
      </c>
      <c r="N502" s="605">
        <v>14196</v>
      </c>
      <c r="O502" s="606">
        <v>1.03</v>
      </c>
      <c r="P502" s="606">
        <v>14621.88</v>
      </c>
      <c r="XDO502" s="539"/>
      <c r="XDP502" s="539"/>
      <c r="XDQ502" s="539"/>
      <c r="XDR502" s="539"/>
      <c r="XDS502" s="539"/>
      <c r="XDY502" s="539"/>
      <c r="XDZ502" s="539"/>
      <c r="XEA502" s="539"/>
      <c r="XEB502" s="539"/>
      <c r="XEC502" s="539"/>
      <c r="XED502" s="539"/>
      <c r="XEE502" s="539"/>
      <c r="XEF502" s="539"/>
      <c r="XEG502" s="539"/>
    </row>
    <row r="503" ht="15.95" customHeight="1" spans="1:16361">
      <c r="A503" s="598" t="s">
        <v>248</v>
      </c>
      <c r="B503" s="599" t="s">
        <v>383</v>
      </c>
      <c r="C503" s="598" t="s">
        <v>167</v>
      </c>
      <c r="D503" s="600">
        <v>13534</v>
      </c>
      <c r="E503" s="600">
        <v>1.5</v>
      </c>
      <c r="F503" s="601">
        <v>20301</v>
      </c>
      <c r="G503" s="602">
        <f>G501</f>
        <v>2410</v>
      </c>
      <c r="H503" s="603">
        <f>H448</f>
        <v>1</v>
      </c>
      <c r="I503" s="609">
        <f t="shared" si="73"/>
        <v>2410</v>
      </c>
      <c r="J503" s="437">
        <f t="shared" si="69"/>
        <v>2410</v>
      </c>
      <c r="K503" s="605"/>
      <c r="L503" s="605" t="s">
        <v>369</v>
      </c>
      <c r="M503" s="607">
        <v>0.1</v>
      </c>
      <c r="N503" s="605"/>
      <c r="O503" s="606"/>
      <c r="P503" s="606"/>
      <c r="XDO503" s="539"/>
      <c r="XDP503" s="539"/>
      <c r="XDQ503" s="539"/>
      <c r="XDR503" s="539"/>
      <c r="XDS503" s="539"/>
      <c r="XDY503" s="539"/>
      <c r="XDZ503" s="539"/>
      <c r="XEA503" s="539"/>
      <c r="XEB503" s="539"/>
      <c r="XEC503" s="539"/>
      <c r="XED503" s="539"/>
      <c r="XEE503" s="539"/>
      <c r="XEF503" s="539"/>
      <c r="XEG503" s="539"/>
    </row>
    <row r="504" ht="15.95" customHeight="1" spans="1:16361">
      <c r="A504" s="123"/>
      <c r="B504" s="406" t="s">
        <v>385</v>
      </c>
      <c r="C504" s="484" t="s">
        <v>336</v>
      </c>
      <c r="D504" s="596">
        <v>0.1</v>
      </c>
      <c r="E504" s="596">
        <v>111385.74</v>
      </c>
      <c r="F504" s="597">
        <v>11138.574</v>
      </c>
      <c r="G504" s="484">
        <v>0.1</v>
      </c>
      <c r="H504" s="425">
        <f>I500+I501</f>
        <v>118786.92</v>
      </c>
      <c r="I504" s="426">
        <f t="shared" si="73"/>
        <v>11878.692</v>
      </c>
      <c r="J504" s="437">
        <f t="shared" si="69"/>
        <v>11878.692</v>
      </c>
      <c r="K504" s="605">
        <v>5</v>
      </c>
      <c r="L504" s="605" t="s">
        <v>387</v>
      </c>
      <c r="M504" s="605" t="s">
        <v>248</v>
      </c>
      <c r="N504" s="605"/>
      <c r="O504" s="606"/>
      <c r="P504" s="606"/>
      <c r="XDO504" s="539"/>
      <c r="XDP504" s="539"/>
      <c r="XDQ504" s="539"/>
      <c r="XDR504" s="539"/>
      <c r="XDS504" s="539"/>
      <c r="XDY504" s="539"/>
      <c r="XDZ504" s="539"/>
      <c r="XEA504" s="539"/>
      <c r="XEB504" s="539"/>
      <c r="XEC504" s="539"/>
      <c r="XED504" s="539"/>
      <c r="XEE504" s="539"/>
      <c r="XEF504" s="539"/>
      <c r="XEG504" s="539"/>
    </row>
    <row r="505" ht="15.95" customHeight="1" spans="1:16361">
      <c r="A505" s="123" t="s">
        <v>417</v>
      </c>
      <c r="B505" s="406" t="s">
        <v>387</v>
      </c>
      <c r="C505" s="123" t="s">
        <v>248</v>
      </c>
      <c r="D505" s="596"/>
      <c r="E505" s="596"/>
      <c r="F505" s="597">
        <v>133280</v>
      </c>
      <c r="G505" s="425"/>
      <c r="H505" s="425"/>
      <c r="I505" s="615">
        <f>I506+I507</f>
        <v>155557.6</v>
      </c>
      <c r="J505" s="437">
        <f t="shared" si="69"/>
        <v>0</v>
      </c>
      <c r="K505" s="605" t="s">
        <v>248</v>
      </c>
      <c r="L505" s="605" t="s">
        <v>410</v>
      </c>
      <c r="M505" s="605" t="s">
        <v>363</v>
      </c>
      <c r="N505" s="605">
        <v>1560</v>
      </c>
      <c r="O505" s="606">
        <v>1.03</v>
      </c>
      <c r="P505" s="606">
        <v>1606.8</v>
      </c>
      <c r="XDO505" s="539"/>
      <c r="XDP505" s="539"/>
      <c r="XDQ505" s="539"/>
      <c r="XDR505" s="539"/>
      <c r="XDS505" s="539"/>
      <c r="XDY505" s="539"/>
      <c r="XDZ505" s="539"/>
      <c r="XEA505" s="539"/>
      <c r="XEB505" s="539"/>
      <c r="XEC505" s="539"/>
      <c r="XED505" s="539"/>
      <c r="XEE505" s="539"/>
      <c r="XEF505" s="539"/>
      <c r="XEG505" s="539"/>
    </row>
    <row r="506" ht="35.25" customHeight="1" spans="1:16361">
      <c r="A506" s="610" t="s">
        <v>248</v>
      </c>
      <c r="B506" s="611" t="s">
        <v>388</v>
      </c>
      <c r="C506" s="610" t="s">
        <v>363</v>
      </c>
      <c r="D506" s="612">
        <v>1360</v>
      </c>
      <c r="E506" s="612">
        <v>88</v>
      </c>
      <c r="F506" s="613">
        <v>119680</v>
      </c>
      <c r="G506" s="614">
        <v>1607</v>
      </c>
      <c r="H506" s="614">
        <f>H451</f>
        <v>88</v>
      </c>
      <c r="I506" s="615">
        <f>G506*H506</f>
        <v>141416</v>
      </c>
      <c r="J506" s="437">
        <f t="shared" si="69"/>
        <v>141416</v>
      </c>
      <c r="XDO506" s="539"/>
      <c r="XDP506" s="539"/>
      <c r="XDQ506" s="539"/>
      <c r="XDR506" s="539"/>
      <c r="XDS506" s="539"/>
      <c r="XDY506" s="539"/>
      <c r="XDZ506" s="539"/>
      <c r="XEA506" s="539"/>
      <c r="XEB506" s="539"/>
      <c r="XEC506" s="539"/>
      <c r="XED506" s="539"/>
      <c r="XEE506" s="539"/>
      <c r="XEF506" s="539"/>
      <c r="XEG506" s="539"/>
    </row>
    <row r="507" ht="15.95" customHeight="1" spans="1:16361">
      <c r="A507" s="610" t="s">
        <v>248</v>
      </c>
      <c r="B507" s="611" t="s">
        <v>390</v>
      </c>
      <c r="C507" s="610" t="s">
        <v>363</v>
      </c>
      <c r="D507" s="612">
        <v>1360</v>
      </c>
      <c r="E507" s="612">
        <v>10</v>
      </c>
      <c r="F507" s="613">
        <v>13600</v>
      </c>
      <c r="G507" s="614">
        <f>G506</f>
        <v>1607</v>
      </c>
      <c r="H507" s="614">
        <f>H452</f>
        <v>8.8</v>
      </c>
      <c r="I507" s="615">
        <f>G507*H507</f>
        <v>14141.6</v>
      </c>
      <c r="J507" s="437">
        <f t="shared" si="69"/>
        <v>14141.6</v>
      </c>
      <c r="XDO507" s="539"/>
      <c r="XDP507" s="539"/>
      <c r="XDQ507" s="539"/>
      <c r="XDR507" s="539"/>
      <c r="XDS507" s="539"/>
      <c r="XDY507" s="539"/>
      <c r="XDZ507" s="539"/>
      <c r="XEA507" s="539"/>
      <c r="XEB507" s="539"/>
      <c r="XEC507" s="539"/>
      <c r="XED507" s="539"/>
      <c r="XEE507" s="539"/>
      <c r="XEF507" s="539"/>
      <c r="XEG507" s="539"/>
    </row>
    <row r="508" ht="15.95" customHeight="1" spans="1:16361">
      <c r="A508" s="123"/>
      <c r="B508" s="406"/>
      <c r="C508" s="123"/>
      <c r="D508" s="123"/>
      <c r="E508" s="123"/>
      <c r="F508" s="616"/>
      <c r="G508" s="425"/>
      <c r="H508" s="425"/>
      <c r="I508" s="426"/>
      <c r="J508" s="437"/>
      <c r="XDO508" s="539"/>
      <c r="XDP508" s="539"/>
      <c r="XDQ508" s="539"/>
      <c r="XDR508" s="539"/>
      <c r="XDS508" s="539"/>
      <c r="XDY508" s="539"/>
      <c r="XDZ508" s="539"/>
      <c r="XEA508" s="539"/>
      <c r="XEB508" s="539"/>
      <c r="XEC508" s="539"/>
      <c r="XED508" s="539"/>
      <c r="XEE508" s="539"/>
      <c r="XEF508" s="539"/>
      <c r="XEG508" s="539"/>
    </row>
    <row r="509" ht="15.95" customHeight="1" spans="1:16361">
      <c r="A509" s="123"/>
      <c r="B509" s="406"/>
      <c r="C509" s="123"/>
      <c r="D509" s="123"/>
      <c r="E509" s="123"/>
      <c r="F509" s="616"/>
      <c r="G509" s="425"/>
      <c r="H509" s="425"/>
      <c r="I509" s="426"/>
      <c r="J509" s="437"/>
      <c r="XDO509" s="539"/>
      <c r="XDP509" s="539"/>
      <c r="XDQ509" s="539"/>
      <c r="XDR509" s="539"/>
      <c r="XDS509" s="539"/>
      <c r="XDY509" s="539"/>
      <c r="XDZ509" s="539"/>
      <c r="XEA509" s="539"/>
      <c r="XEB509" s="539"/>
      <c r="XEC509" s="539"/>
      <c r="XED509" s="539"/>
      <c r="XEE509" s="539"/>
      <c r="XEF509" s="539"/>
      <c r="XEG509" s="539"/>
    </row>
    <row r="510" ht="15.95" customHeight="1" spans="1:16361">
      <c r="A510" s="123"/>
      <c r="B510" s="406"/>
      <c r="C510" s="123"/>
      <c r="D510" s="123"/>
      <c r="E510" s="123"/>
      <c r="F510" s="616"/>
      <c r="G510" s="425"/>
      <c r="H510" s="425"/>
      <c r="I510" s="426"/>
      <c r="J510" s="437"/>
      <c r="XDO510" s="539"/>
      <c r="XDP510" s="539"/>
      <c r="XDQ510" s="539"/>
      <c r="XDR510" s="539"/>
      <c r="XDS510" s="539"/>
      <c r="XDY510" s="539"/>
      <c r="XDZ510" s="539"/>
      <c r="XEA510" s="539"/>
      <c r="XEB510" s="539"/>
      <c r="XEC510" s="539"/>
      <c r="XED510" s="539"/>
      <c r="XEE510" s="539"/>
      <c r="XEF510" s="539"/>
      <c r="XEG510" s="539"/>
    </row>
    <row r="511" s="539" customFormat="1" ht="15.95" customHeight="1" spans="1:10">
      <c r="A511" s="7"/>
      <c r="B511" s="438"/>
      <c r="C511" s="123"/>
      <c r="D511" s="123"/>
      <c r="E511" s="123"/>
      <c r="F511" s="616"/>
      <c r="G511" s="488"/>
      <c r="H511" s="488"/>
      <c r="I511" s="426"/>
      <c r="J511" s="437"/>
    </row>
    <row r="512" ht="18" customHeight="1" spans="1:10">
      <c r="A512" s="489" t="s">
        <v>418</v>
      </c>
      <c r="B512" s="489"/>
      <c r="C512" s="489"/>
      <c r="D512" s="489"/>
      <c r="E512" s="489"/>
      <c r="F512" s="489"/>
      <c r="G512" s="489"/>
      <c r="H512" s="489"/>
      <c r="I512" s="489"/>
      <c r="J512" s="226"/>
    </row>
    <row r="513" ht="18" customHeight="1" spans="1:10">
      <c r="A513" s="228"/>
      <c r="B513" s="227"/>
      <c r="C513" s="228"/>
      <c r="D513" s="228"/>
      <c r="E513" s="228"/>
      <c r="F513" s="617"/>
      <c r="G513" s="228"/>
      <c r="H513" s="228" t="s">
        <v>419</v>
      </c>
      <c r="I513" s="228"/>
      <c r="J513" s="229"/>
    </row>
    <row r="514" ht="18" customHeight="1" spans="1:10">
      <c r="A514" s="7" t="s">
        <v>104</v>
      </c>
      <c r="B514" s="7" t="s">
        <v>420</v>
      </c>
      <c r="C514" s="7" t="s">
        <v>159</v>
      </c>
      <c r="D514" s="7"/>
      <c r="E514" s="7"/>
      <c r="F514" s="499"/>
      <c r="G514" s="7" t="s">
        <v>421</v>
      </c>
      <c r="H514" s="7" t="s">
        <v>422</v>
      </c>
      <c r="I514" s="7" t="s">
        <v>18</v>
      </c>
      <c r="J514" s="229"/>
    </row>
    <row r="515" ht="18" customHeight="1" spans="1:10">
      <c r="A515" s="7"/>
      <c r="B515" s="11" t="s">
        <v>87</v>
      </c>
      <c r="C515" s="7"/>
      <c r="D515" s="7"/>
      <c r="E515" s="7"/>
      <c r="F515" s="499"/>
      <c r="G515" s="7"/>
      <c r="H515" s="7"/>
      <c r="I515" s="90">
        <f>I516+I522+I524+I525+I528</f>
        <v>1242334.79875206</v>
      </c>
      <c r="J515" s="490"/>
    </row>
    <row r="516" ht="18" customHeight="1" spans="1:10">
      <c r="A516" s="7" t="s">
        <v>34</v>
      </c>
      <c r="B516" s="11" t="s">
        <v>423</v>
      </c>
      <c r="C516" s="7"/>
      <c r="D516" s="7"/>
      <c r="E516" s="7"/>
      <c r="F516" s="499"/>
      <c r="G516" s="7"/>
      <c r="H516" s="7"/>
      <c r="I516" s="90">
        <f>I517+I519</f>
        <v>814614.172372063</v>
      </c>
      <c r="J516" s="490"/>
    </row>
    <row r="517" ht="18" customHeight="1" spans="1:10">
      <c r="A517" s="7">
        <v>1</v>
      </c>
      <c r="B517" s="11" t="s">
        <v>424</v>
      </c>
      <c r="C517" s="7" t="s">
        <v>167</v>
      </c>
      <c r="D517" s="7"/>
      <c r="E517" s="7"/>
      <c r="F517" s="499"/>
      <c r="G517" s="7">
        <v>4814.6</v>
      </c>
      <c r="H517" s="69"/>
      <c r="I517" s="90">
        <f>I518</f>
        <v>84456.9522014606</v>
      </c>
      <c r="J517" s="490"/>
    </row>
    <row r="518" ht="18" customHeight="1" spans="1:10">
      <c r="A518" s="7"/>
      <c r="B518" s="487" t="s">
        <v>170</v>
      </c>
      <c r="C518" s="123" t="s">
        <v>169</v>
      </c>
      <c r="D518" s="123"/>
      <c r="E518" s="123"/>
      <c r="F518" s="616"/>
      <c r="G518" s="7">
        <v>13684.04</v>
      </c>
      <c r="H518" s="69">
        <f>单价汇总表!D34/100</f>
        <v>6.17193111109443</v>
      </c>
      <c r="I518" s="90">
        <f>G518*H518</f>
        <v>84456.9522014606</v>
      </c>
      <c r="J518" s="490"/>
    </row>
    <row r="519" ht="18" customHeight="1" spans="1:10">
      <c r="A519" s="123">
        <v>2</v>
      </c>
      <c r="B519" s="491" t="s">
        <v>425</v>
      </c>
      <c r="C519" s="7"/>
      <c r="D519" s="7"/>
      <c r="E519" s="7"/>
      <c r="F519" s="499"/>
      <c r="G519" s="7"/>
      <c r="H519" s="69"/>
      <c r="I519" s="90">
        <f>I520+I521</f>
        <v>730157.220170603</v>
      </c>
      <c r="J519" s="490"/>
    </row>
    <row r="520" ht="18" customHeight="1" spans="1:10">
      <c r="A520" s="123"/>
      <c r="B520" s="491" t="s">
        <v>426</v>
      </c>
      <c r="C520" s="7" t="s">
        <v>167</v>
      </c>
      <c r="D520" s="7"/>
      <c r="E520" s="7"/>
      <c r="F520" s="499"/>
      <c r="G520" s="246">
        <v>900</v>
      </c>
      <c r="H520" s="69">
        <v>220</v>
      </c>
      <c r="I520" s="90">
        <f>G520*H520</f>
        <v>198000</v>
      </c>
      <c r="J520" s="490"/>
    </row>
    <row r="521" ht="18" customHeight="1" spans="1:10">
      <c r="A521" s="107"/>
      <c r="B521" s="491" t="s">
        <v>427</v>
      </c>
      <c r="C521" s="7" t="s">
        <v>428</v>
      </c>
      <c r="D521" s="7"/>
      <c r="E521" s="7"/>
      <c r="F521" s="499"/>
      <c r="G521" s="246">
        <v>29725.87</v>
      </c>
      <c r="H521" s="69">
        <f>台时!E294</f>
        <v>17.9021579577184</v>
      </c>
      <c r="I521" s="90">
        <f>G521*H521</f>
        <v>532157.220170603</v>
      </c>
      <c r="J521" s="490"/>
    </row>
    <row r="522" ht="18" customHeight="1" spans="1:10">
      <c r="A522" s="7" t="s">
        <v>46</v>
      </c>
      <c r="B522" s="493" t="s">
        <v>429</v>
      </c>
      <c r="C522" s="494"/>
      <c r="D522" s="494"/>
      <c r="E522" s="494"/>
      <c r="F522" s="618"/>
      <c r="G522" s="90"/>
      <c r="H522" s="38"/>
      <c r="I522" s="90">
        <f>I523</f>
        <v>84000</v>
      </c>
      <c r="J522" s="490"/>
    </row>
    <row r="523" ht="18" customHeight="1" spans="1:10">
      <c r="A523" s="7"/>
      <c r="B523" s="493" t="s">
        <v>430</v>
      </c>
      <c r="C523" s="494" t="s">
        <v>229</v>
      </c>
      <c r="D523" s="494"/>
      <c r="E523" s="494"/>
      <c r="F523" s="618"/>
      <c r="G523" s="118">
        <v>2.8</v>
      </c>
      <c r="H523" s="38">
        <v>30000</v>
      </c>
      <c r="I523" s="90">
        <f>G523*H523</f>
        <v>84000</v>
      </c>
      <c r="J523" s="490"/>
    </row>
    <row r="524" ht="18" customHeight="1" spans="1:10">
      <c r="A524" s="7" t="s">
        <v>83</v>
      </c>
      <c r="B524" s="493" t="s">
        <v>431</v>
      </c>
      <c r="C524" s="494" t="s">
        <v>229</v>
      </c>
      <c r="D524" s="494"/>
      <c r="E524" s="494"/>
      <c r="F524" s="618"/>
      <c r="G524" s="118">
        <v>0</v>
      </c>
      <c r="H524" s="38">
        <v>60000</v>
      </c>
      <c r="I524" s="90">
        <f>G524*H524</f>
        <v>0</v>
      </c>
      <c r="J524" s="490"/>
    </row>
    <row r="525" ht="18" customHeight="1" spans="1:10">
      <c r="A525" s="7" t="s">
        <v>121</v>
      </c>
      <c r="B525" s="493" t="s">
        <v>432</v>
      </c>
      <c r="C525" s="494"/>
      <c r="D525" s="494"/>
      <c r="E525" s="494"/>
      <c r="F525" s="618"/>
      <c r="G525" s="90"/>
      <c r="H525" s="38"/>
      <c r="I525" s="90">
        <f>I526+I527</f>
        <v>191381.858543637</v>
      </c>
      <c r="J525" s="490"/>
    </row>
    <row r="526" ht="18" customHeight="1" spans="1:10">
      <c r="A526" s="7">
        <v>1</v>
      </c>
      <c r="B526" s="493" t="s">
        <v>433</v>
      </c>
      <c r="C526" s="7" t="s">
        <v>175</v>
      </c>
      <c r="D526" s="7"/>
      <c r="E526" s="7"/>
      <c r="F526" s="499"/>
      <c r="G526" s="497">
        <v>200</v>
      </c>
      <c r="H526" s="38">
        <v>200</v>
      </c>
      <c r="I526" s="90">
        <f>G526*H526</f>
        <v>40000</v>
      </c>
      <c r="J526" s="490"/>
    </row>
    <row r="527" ht="18" customHeight="1" spans="1:10">
      <c r="A527" s="7">
        <v>2</v>
      </c>
      <c r="B527" s="493" t="s">
        <v>434</v>
      </c>
      <c r="C527" s="494">
        <v>0.005</v>
      </c>
      <c r="D527" s="494"/>
      <c r="E527" s="494"/>
      <c r="F527" s="618"/>
      <c r="G527" s="90">
        <f>总概算核!G14*10000+I516+I522+I524</f>
        <v>30276371.7087274</v>
      </c>
      <c r="H527" s="38"/>
      <c r="I527" s="90">
        <f>C527*G527</f>
        <v>151381.858543637</v>
      </c>
      <c r="J527" s="490"/>
    </row>
    <row r="528" ht="18" customHeight="1" spans="1:10">
      <c r="A528" s="7" t="s">
        <v>135</v>
      </c>
      <c r="B528" s="11" t="s">
        <v>435</v>
      </c>
      <c r="C528" s="494"/>
      <c r="D528" s="494"/>
      <c r="E528" s="494"/>
      <c r="F528" s="618"/>
      <c r="G528" s="90"/>
      <c r="H528" s="38"/>
      <c r="I528" s="90">
        <f>I529</f>
        <v>152338.767836355</v>
      </c>
      <c r="J528" s="490"/>
    </row>
    <row r="529" ht="18" customHeight="1" spans="1:10">
      <c r="A529" s="7">
        <v>1</v>
      </c>
      <c r="B529" s="11" t="s">
        <v>435</v>
      </c>
      <c r="C529" s="494">
        <v>0.005</v>
      </c>
      <c r="D529" s="494"/>
      <c r="E529" s="494"/>
      <c r="F529" s="618"/>
      <c r="G529" s="90">
        <f>G527+I525</f>
        <v>30467753.567271</v>
      </c>
      <c r="H529" s="38"/>
      <c r="I529" s="90">
        <f>C529*G529</f>
        <v>152338.767836355</v>
      </c>
      <c r="J529" s="490"/>
    </row>
    <row r="530" ht="18" customHeight="1" spans="1:10">
      <c r="A530" s="7"/>
      <c r="B530" s="11"/>
      <c r="C530" s="494"/>
      <c r="D530" s="494"/>
      <c r="E530" s="494"/>
      <c r="F530" s="618"/>
      <c r="G530" s="90"/>
      <c r="H530" s="38"/>
      <c r="I530" s="90"/>
      <c r="J530" s="490"/>
    </row>
    <row r="531" ht="18" customHeight="1" spans="1:10">
      <c r="A531" s="7"/>
      <c r="B531" s="11"/>
      <c r="C531" s="494"/>
      <c r="D531" s="494"/>
      <c r="E531" s="494"/>
      <c r="F531" s="618"/>
      <c r="G531" s="90"/>
      <c r="H531" s="38"/>
      <c r="I531" s="90"/>
      <c r="J531" s="490"/>
    </row>
    <row r="532" ht="18" customHeight="1" spans="1:10">
      <c r="A532" s="7"/>
      <c r="B532" s="11"/>
      <c r="C532" s="494"/>
      <c r="D532" s="494"/>
      <c r="E532" s="494"/>
      <c r="F532" s="618"/>
      <c r="G532" s="90"/>
      <c r="H532" s="38"/>
      <c r="I532" s="90"/>
      <c r="J532" s="490"/>
    </row>
    <row r="533" ht="18" customHeight="1" spans="1:10">
      <c r="A533" s="7"/>
      <c r="B533" s="11"/>
      <c r="C533" s="53"/>
      <c r="D533" s="53"/>
      <c r="E533" s="53"/>
      <c r="F533" s="499"/>
      <c r="G533" s="90"/>
      <c r="H533" s="7"/>
      <c r="I533" s="90"/>
      <c r="J533" s="490"/>
    </row>
    <row r="534" ht="18" customHeight="1" spans="1:10">
      <c r="A534" s="489" t="s">
        <v>436</v>
      </c>
      <c r="B534" s="489"/>
      <c r="C534" s="489"/>
      <c r="D534" s="489"/>
      <c r="E534" s="489"/>
      <c r="F534" s="489"/>
      <c r="G534" s="489"/>
      <c r="H534" s="489"/>
      <c r="I534" s="489"/>
      <c r="J534" s="226"/>
    </row>
    <row r="535" ht="18" customHeight="1" spans="1:10">
      <c r="A535" s="228"/>
      <c r="B535" s="228"/>
      <c r="C535" s="96"/>
      <c r="D535" s="96"/>
      <c r="E535" s="96"/>
      <c r="F535" s="619"/>
      <c r="G535" s="96"/>
      <c r="H535" s="302"/>
      <c r="I535" s="498" t="s">
        <v>71</v>
      </c>
      <c r="J535" s="498"/>
    </row>
    <row r="536" ht="18" customHeight="1" spans="1:10">
      <c r="A536" s="7" t="s">
        <v>104</v>
      </c>
      <c r="B536" s="7" t="s">
        <v>437</v>
      </c>
      <c r="C536" s="7" t="s">
        <v>159</v>
      </c>
      <c r="D536" s="7"/>
      <c r="E536" s="7"/>
      <c r="F536" s="499"/>
      <c r="G536" s="7" t="s">
        <v>160</v>
      </c>
      <c r="H536" s="34" t="s">
        <v>422</v>
      </c>
      <c r="I536" s="499" t="s">
        <v>156</v>
      </c>
      <c r="J536" s="498"/>
    </row>
    <row r="537" ht="18" customHeight="1" spans="1:10">
      <c r="A537" s="7" t="s">
        <v>34</v>
      </c>
      <c r="B537" s="11" t="s">
        <v>123</v>
      </c>
      <c r="C537" s="7" t="s">
        <v>438</v>
      </c>
      <c r="D537" s="7"/>
      <c r="E537" s="7"/>
      <c r="F537" s="499"/>
      <c r="G537" s="7"/>
      <c r="H537" s="34"/>
      <c r="I537" s="34">
        <f>独立费用!D14</f>
        <v>111.835473311918</v>
      </c>
      <c r="J537" s="500"/>
    </row>
    <row r="538" ht="18" customHeight="1" spans="1:10">
      <c r="A538" s="7" t="s">
        <v>439</v>
      </c>
      <c r="B538" s="11" t="s">
        <v>440</v>
      </c>
      <c r="C538" s="7" t="s">
        <v>438</v>
      </c>
      <c r="D538" s="7"/>
      <c r="E538" s="7"/>
      <c r="F538" s="499"/>
      <c r="G538" s="53"/>
      <c r="H538" s="34"/>
      <c r="I538" s="34">
        <f>监理费用!E15</f>
        <v>61.8835991348587</v>
      </c>
      <c r="J538" s="500"/>
    </row>
    <row r="539" ht="18" customHeight="1" spans="1:10">
      <c r="A539" s="7" t="s">
        <v>83</v>
      </c>
      <c r="B539" s="11" t="s">
        <v>441</v>
      </c>
      <c r="C539" s="7" t="s">
        <v>438</v>
      </c>
      <c r="D539" s="7"/>
      <c r="E539" s="7"/>
      <c r="F539" s="499"/>
      <c r="G539" s="7"/>
      <c r="H539" s="34"/>
      <c r="I539" s="34">
        <f>SUM(I540:I541)</f>
        <v>136.345270247113</v>
      </c>
      <c r="J539" s="500"/>
    </row>
    <row r="540" ht="18" customHeight="1" spans="1:10">
      <c r="A540" s="7">
        <v>1</v>
      </c>
      <c r="B540" s="11" t="s">
        <v>35</v>
      </c>
      <c r="C540" s="7" t="s">
        <v>438</v>
      </c>
      <c r="D540" s="7"/>
      <c r="E540" s="7"/>
      <c r="F540" s="499"/>
      <c r="G540" s="53"/>
      <c r="H540" s="34"/>
      <c r="I540" s="34">
        <f>设计费!D28+设计费!I4</f>
        <v>74.0761934986503</v>
      </c>
      <c r="J540" s="500"/>
    </row>
    <row r="541" ht="18" customHeight="1" spans="1:10">
      <c r="A541" s="7">
        <v>2</v>
      </c>
      <c r="B541" s="11" t="s">
        <v>442</v>
      </c>
      <c r="C541" s="7" t="s">
        <v>438</v>
      </c>
      <c r="D541" s="7"/>
      <c r="E541" s="7"/>
      <c r="F541" s="499"/>
      <c r="G541" s="53"/>
      <c r="H541" s="34"/>
      <c r="I541" s="34">
        <f>设计费!D67</f>
        <v>62.2690767484623</v>
      </c>
      <c r="J541" s="500"/>
    </row>
    <row r="542" ht="18" customHeight="1" spans="1:10">
      <c r="A542" s="7" t="s">
        <v>121</v>
      </c>
      <c r="B542" s="11" t="s">
        <v>126</v>
      </c>
      <c r="C542" s="7" t="s">
        <v>438</v>
      </c>
      <c r="D542" s="7"/>
      <c r="E542" s="7"/>
      <c r="F542" s="499"/>
      <c r="G542" s="7"/>
      <c r="H542" s="34"/>
      <c r="I542" s="34">
        <f>SUM(I543:I544)</f>
        <v>91.8602770053221</v>
      </c>
      <c r="J542" s="500"/>
    </row>
    <row r="543" ht="18" customHeight="1" spans="1:10">
      <c r="A543" s="7">
        <v>1</v>
      </c>
      <c r="B543" s="11" t="s">
        <v>127</v>
      </c>
      <c r="C543" s="7" t="s">
        <v>438</v>
      </c>
      <c r="D543" s="7"/>
      <c r="E543" s="7"/>
      <c r="F543" s="499"/>
      <c r="G543" s="53">
        <v>0.025</v>
      </c>
      <c r="H543" s="34">
        <f>总概算核!G16</f>
        <v>3062.00923351074</v>
      </c>
      <c r="I543" s="34">
        <f>G543*H543</f>
        <v>76.5502308377684</v>
      </c>
      <c r="J543" s="500"/>
    </row>
    <row r="544" ht="18" customHeight="1" spans="1:10">
      <c r="A544" s="7">
        <v>2</v>
      </c>
      <c r="B544" s="11" t="s">
        <v>128</v>
      </c>
      <c r="C544" s="7" t="s">
        <v>438</v>
      </c>
      <c r="D544" s="7"/>
      <c r="E544" s="7"/>
      <c r="F544" s="499"/>
      <c r="G544" s="53">
        <v>0.005</v>
      </c>
      <c r="H544" s="34">
        <f>H543</f>
        <v>3062.00923351074</v>
      </c>
      <c r="I544" s="34">
        <f>G544*H544</f>
        <v>15.3100461675537</v>
      </c>
      <c r="J544" s="500"/>
    </row>
    <row r="545" ht="18" customHeight="1" spans="1:10">
      <c r="A545" s="7"/>
      <c r="B545" s="11" t="s">
        <v>156</v>
      </c>
      <c r="C545" s="7"/>
      <c r="D545" s="7"/>
      <c r="E545" s="7"/>
      <c r="F545" s="499"/>
      <c r="G545" s="7"/>
      <c r="H545" s="34"/>
      <c r="I545" s="34">
        <f>I537+I538+I539+I542</f>
        <v>401.924619699211</v>
      </c>
      <c r="J545" s="500"/>
    </row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</sheetData>
  <sheetProtection formatCells="0" insertHyperlinks="0" autoFilter="0"/>
  <autoFilter ref="A3:I510">
    <extLst/>
  </autoFilter>
  <mergeCells count="5">
    <mergeCell ref="A512:I512"/>
    <mergeCell ref="H513:I513"/>
    <mergeCell ref="A534:I534"/>
    <mergeCell ref="A535:B535"/>
    <mergeCell ref="A1:I3"/>
  </mergeCells>
  <pageMargins left="0.71" right="0.71" top="0.75" bottom="0.75" header="0.31" footer="0.31"/>
  <pageSetup paperSize="9" orientation="portrait"/>
  <headerFooter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tabColor rgb="FF7030A0"/>
  </sheetPr>
  <dimension ref="A1:K207"/>
  <sheetViews>
    <sheetView zoomScale="90" zoomScaleNormal="90" topLeftCell="A187" workbookViewId="0">
      <selection activeCell="L197" sqref="L197"/>
    </sheetView>
  </sheetViews>
  <sheetFormatPr defaultColWidth="9" defaultRowHeight="14.25"/>
  <cols>
    <col min="1" max="1" width="6.375" style="387" customWidth="1"/>
    <col min="2" max="2" width="27.5" style="323" customWidth="1"/>
    <col min="3" max="3" width="27" style="323" customWidth="1"/>
    <col min="4" max="4" width="6.875" style="229" customWidth="1"/>
    <col min="5" max="5" width="7" style="229" customWidth="1"/>
    <col min="6" max="6" width="7.875" style="229" customWidth="1"/>
    <col min="7" max="7" width="10.125" style="216" customWidth="1"/>
    <col min="8" max="8" width="12.625" style="216"/>
    <col min="9" max="9" width="11.75" style="216" customWidth="1"/>
    <col min="10" max="10" width="12.625"/>
    <col min="11" max="11" width="8.625" customWidth="1"/>
  </cols>
  <sheetData>
    <row r="1" ht="20.25" customHeight="1" spans="1:9">
      <c r="A1" s="388" t="s">
        <v>443</v>
      </c>
      <c r="B1" s="389"/>
      <c r="C1" s="389"/>
      <c r="D1" s="388"/>
      <c r="E1" s="388"/>
      <c r="F1" s="388"/>
      <c r="G1" s="388"/>
      <c r="H1" s="388"/>
      <c r="I1" s="388"/>
    </row>
    <row r="2" ht="18" customHeight="1" spans="1:9">
      <c r="A2" s="94"/>
      <c r="B2" s="390"/>
      <c r="C2" s="390"/>
      <c r="D2" s="94"/>
      <c r="E2" s="94"/>
      <c r="F2" s="94"/>
      <c r="G2" s="94"/>
      <c r="H2" s="388"/>
      <c r="I2" s="388"/>
    </row>
    <row r="3" ht="18" customHeight="1" spans="1:9">
      <c r="A3" s="7" t="s">
        <v>1</v>
      </c>
      <c r="B3" s="7" t="s">
        <v>444</v>
      </c>
      <c r="C3" s="7" t="s">
        <v>445</v>
      </c>
      <c r="D3" s="7" t="s">
        <v>159</v>
      </c>
      <c r="E3" s="7" t="s">
        <v>160</v>
      </c>
      <c r="F3" s="7" t="s">
        <v>446</v>
      </c>
      <c r="G3" s="7"/>
      <c r="H3" s="7" t="s">
        <v>447</v>
      </c>
      <c r="I3" s="7"/>
    </row>
    <row r="4" ht="18" customHeight="1" spans="1:9">
      <c r="A4" s="7"/>
      <c r="B4" s="7"/>
      <c r="C4" s="7"/>
      <c r="D4" s="7"/>
      <c r="E4" s="7"/>
      <c r="F4" s="7" t="s">
        <v>448</v>
      </c>
      <c r="G4" s="7" t="s">
        <v>449</v>
      </c>
      <c r="H4" s="7" t="s">
        <v>448</v>
      </c>
      <c r="I4" s="7" t="s">
        <v>449</v>
      </c>
    </row>
    <row r="5" s="62" customFormat="1" ht="18" customHeight="1" spans="1:11">
      <c r="A5" s="5"/>
      <c r="B5" s="391" t="s">
        <v>80</v>
      </c>
      <c r="C5" s="391"/>
      <c r="D5" s="392"/>
      <c r="E5" s="393"/>
      <c r="F5" s="5"/>
      <c r="G5" s="394"/>
      <c r="H5" s="395">
        <f>H6+H64+H126</f>
        <v>70490.03248</v>
      </c>
      <c r="I5" s="395">
        <f>I6+I64+I126</f>
        <v>688382.437884752</v>
      </c>
      <c r="J5" s="416">
        <f>SUM(J9:J189)</f>
        <v>70490.03248</v>
      </c>
      <c r="K5" s="416">
        <f>SUM(K9:K189)</f>
        <v>688382.437884752</v>
      </c>
    </row>
    <row r="6" s="417" customFormat="1" ht="18" customHeight="1" spans="1:9">
      <c r="A6" s="396" t="s">
        <v>34</v>
      </c>
      <c r="B6" s="397" t="s">
        <v>81</v>
      </c>
      <c r="C6" s="397" t="s">
        <v>248</v>
      </c>
      <c r="D6" s="396"/>
      <c r="E6" s="396"/>
      <c r="F6" s="5"/>
      <c r="G6" s="395"/>
      <c r="H6" s="395">
        <f>H7</f>
        <v>25341</v>
      </c>
      <c r="I6" s="395">
        <f>I7</f>
        <v>274986.2229</v>
      </c>
    </row>
    <row r="7" s="62" customFormat="1" ht="18" customHeight="1" spans="1:9">
      <c r="A7" s="398">
        <v>1</v>
      </c>
      <c r="B7" s="399" t="s">
        <v>247</v>
      </c>
      <c r="C7" s="400"/>
      <c r="D7" s="398"/>
      <c r="E7" s="398"/>
      <c r="F7" s="5"/>
      <c r="G7" s="394"/>
      <c r="H7" s="394">
        <f>SUM(H9:H63)</f>
        <v>25341</v>
      </c>
      <c r="I7" s="394">
        <f>SUM(I9:I63)</f>
        <v>274986.2229</v>
      </c>
    </row>
    <row r="8" s="62" customFormat="1" ht="18" customHeight="1" spans="1:9">
      <c r="A8" s="398"/>
      <c r="B8" s="399" t="s">
        <v>450</v>
      </c>
      <c r="C8" s="400"/>
      <c r="D8" s="398"/>
      <c r="E8" s="398"/>
      <c r="F8" s="5"/>
      <c r="G8" s="394"/>
      <c r="H8" s="394"/>
      <c r="I8" s="394"/>
    </row>
    <row r="9" s="62" customFormat="1" ht="18" customHeight="1" spans="1:11">
      <c r="A9" s="398"/>
      <c r="B9" s="401" t="s">
        <v>451</v>
      </c>
      <c r="C9" s="530" t="s">
        <v>452</v>
      </c>
      <c r="D9" s="531" t="s">
        <v>453</v>
      </c>
      <c r="E9" s="532">
        <v>1</v>
      </c>
      <c r="F9" s="90">
        <f t="shared" ref="F9:F14" si="0">G9*0.1</f>
        <v>292.5</v>
      </c>
      <c r="G9" s="394">
        <f>0.065*45000</f>
        <v>2925</v>
      </c>
      <c r="H9" s="394">
        <f t="shared" ref="H9:H14" si="1">E9*F9</f>
        <v>292.5</v>
      </c>
      <c r="I9" s="394">
        <f t="shared" ref="I9:I14" si="2">E9*G9</f>
        <v>2925</v>
      </c>
      <c r="J9" s="416">
        <f>E9*F9</f>
        <v>292.5</v>
      </c>
      <c r="K9" s="62">
        <f>E9*G9</f>
        <v>2925</v>
      </c>
    </row>
    <row r="10" s="62" customFormat="1" ht="18" customHeight="1" spans="1:11">
      <c r="A10" s="398"/>
      <c r="B10" s="402" t="s">
        <v>454</v>
      </c>
      <c r="C10" s="403" t="s">
        <v>455</v>
      </c>
      <c r="D10" s="404" t="s">
        <v>453</v>
      </c>
      <c r="E10" s="404">
        <v>1</v>
      </c>
      <c r="F10" s="90">
        <f t="shared" si="0"/>
        <v>60</v>
      </c>
      <c r="G10" s="394">
        <v>600</v>
      </c>
      <c r="H10" s="394">
        <f t="shared" si="1"/>
        <v>60</v>
      </c>
      <c r="I10" s="394">
        <f t="shared" si="2"/>
        <v>600</v>
      </c>
      <c r="J10" s="416">
        <f t="shared" ref="J10:J41" si="3">E10*F10</f>
        <v>60</v>
      </c>
      <c r="K10" s="62">
        <f t="shared" ref="K10:K41" si="4">E10*G10</f>
        <v>600</v>
      </c>
    </row>
    <row r="11" s="62" customFormat="1" ht="18" customHeight="1" spans="1:11">
      <c r="A11" s="398"/>
      <c r="B11" s="402" t="s">
        <v>456</v>
      </c>
      <c r="C11" s="403" t="s">
        <v>457</v>
      </c>
      <c r="D11" s="404" t="s">
        <v>453</v>
      </c>
      <c r="E11" s="404">
        <v>1</v>
      </c>
      <c r="F11" s="90">
        <f t="shared" si="0"/>
        <v>690</v>
      </c>
      <c r="G11" s="394">
        <v>6900</v>
      </c>
      <c r="H11" s="394">
        <f t="shared" si="1"/>
        <v>690</v>
      </c>
      <c r="I11" s="394">
        <f t="shared" si="2"/>
        <v>6900</v>
      </c>
      <c r="J11" s="416">
        <f t="shared" si="3"/>
        <v>690</v>
      </c>
      <c r="K11" s="62">
        <f t="shared" si="4"/>
        <v>6900</v>
      </c>
    </row>
    <row r="12" s="62" customFormat="1" ht="18" customHeight="1" spans="1:11">
      <c r="A12" s="398"/>
      <c r="B12" s="402" t="s">
        <v>458</v>
      </c>
      <c r="C12" s="403" t="s">
        <v>455</v>
      </c>
      <c r="D12" s="404" t="s">
        <v>453</v>
      </c>
      <c r="E12" s="404">
        <v>1</v>
      </c>
      <c r="F12" s="90">
        <f t="shared" si="0"/>
        <v>60</v>
      </c>
      <c r="G12" s="394">
        <v>600</v>
      </c>
      <c r="H12" s="394">
        <f t="shared" si="1"/>
        <v>60</v>
      </c>
      <c r="I12" s="394">
        <f t="shared" si="2"/>
        <v>600</v>
      </c>
      <c r="J12" s="416">
        <f t="shared" si="3"/>
        <v>60</v>
      </c>
      <c r="K12" s="62">
        <f t="shared" si="4"/>
        <v>600</v>
      </c>
    </row>
    <row r="13" s="62" customFormat="1" ht="18" customHeight="1" spans="1:11">
      <c r="A13" s="398"/>
      <c r="B13" s="402" t="s">
        <v>459</v>
      </c>
      <c r="C13" s="403" t="s">
        <v>457</v>
      </c>
      <c r="D13" s="404" t="s">
        <v>453</v>
      </c>
      <c r="E13" s="404">
        <v>1</v>
      </c>
      <c r="F13" s="90">
        <f t="shared" si="0"/>
        <v>690</v>
      </c>
      <c r="G13" s="394">
        <v>6900</v>
      </c>
      <c r="H13" s="394">
        <f t="shared" si="1"/>
        <v>690</v>
      </c>
      <c r="I13" s="394">
        <f t="shared" si="2"/>
        <v>6900</v>
      </c>
      <c r="J13" s="416">
        <f t="shared" si="3"/>
        <v>690</v>
      </c>
      <c r="K13" s="62">
        <f t="shared" si="4"/>
        <v>6900</v>
      </c>
    </row>
    <row r="14" s="62" customFormat="1" ht="18" customHeight="1" spans="1:11">
      <c r="A14" s="398"/>
      <c r="B14" s="533" t="s">
        <v>460</v>
      </c>
      <c r="C14" s="537" t="s">
        <v>461</v>
      </c>
      <c r="D14" s="7" t="s">
        <v>305</v>
      </c>
      <c r="E14" s="123">
        <v>1</v>
      </c>
      <c r="F14" s="90">
        <f t="shared" si="0"/>
        <v>1600</v>
      </c>
      <c r="G14" s="394">
        <f>80*200</f>
        <v>16000</v>
      </c>
      <c r="H14" s="394">
        <f t="shared" si="1"/>
        <v>1600</v>
      </c>
      <c r="I14" s="394">
        <f t="shared" si="2"/>
        <v>16000</v>
      </c>
      <c r="J14" s="416">
        <f t="shared" si="3"/>
        <v>1600</v>
      </c>
      <c r="K14" s="62">
        <f t="shared" si="4"/>
        <v>16000</v>
      </c>
    </row>
    <row r="15" s="62" customFormat="1" ht="18" customHeight="1" spans="1:11">
      <c r="A15" s="398"/>
      <c r="B15" s="402" t="s">
        <v>462</v>
      </c>
      <c r="C15" s="403" t="s">
        <v>463</v>
      </c>
      <c r="D15" s="404" t="s">
        <v>453</v>
      </c>
      <c r="E15" s="404">
        <v>1</v>
      </c>
      <c r="F15" s="90">
        <f t="shared" ref="F15:F24" si="5">G15*0.1</f>
        <v>290</v>
      </c>
      <c r="G15" s="394">
        <v>2900</v>
      </c>
      <c r="H15" s="394">
        <f t="shared" ref="H15:H24" si="6">E15*F15</f>
        <v>290</v>
      </c>
      <c r="I15" s="394">
        <f t="shared" ref="I15:I24" si="7">E15*G15</f>
        <v>2900</v>
      </c>
      <c r="J15" s="416">
        <f t="shared" si="3"/>
        <v>290</v>
      </c>
      <c r="K15" s="62">
        <f t="shared" si="4"/>
        <v>2900</v>
      </c>
    </row>
    <row r="16" s="62" customFormat="1" ht="18" customHeight="1" spans="1:11">
      <c r="A16" s="398"/>
      <c r="B16" s="402" t="s">
        <v>464</v>
      </c>
      <c r="C16" s="403" t="s">
        <v>465</v>
      </c>
      <c r="D16" s="404" t="s">
        <v>453</v>
      </c>
      <c r="E16" s="404">
        <v>1</v>
      </c>
      <c r="F16" s="90">
        <f t="shared" si="5"/>
        <v>60</v>
      </c>
      <c r="G16" s="394">
        <v>600</v>
      </c>
      <c r="H16" s="394">
        <f t="shared" si="6"/>
        <v>60</v>
      </c>
      <c r="I16" s="394">
        <f t="shared" si="7"/>
        <v>600</v>
      </c>
      <c r="J16" s="416">
        <f t="shared" si="3"/>
        <v>60</v>
      </c>
      <c r="K16" s="62">
        <f t="shared" si="4"/>
        <v>600</v>
      </c>
    </row>
    <row r="17" s="62" customFormat="1" ht="18" customHeight="1" spans="1:11">
      <c r="A17" s="398"/>
      <c r="B17" s="402" t="s">
        <v>466</v>
      </c>
      <c r="C17" s="403" t="s">
        <v>467</v>
      </c>
      <c r="D17" s="404" t="s">
        <v>453</v>
      </c>
      <c r="E17" s="404">
        <v>1</v>
      </c>
      <c r="F17" s="90">
        <f t="shared" si="5"/>
        <v>105</v>
      </c>
      <c r="G17" s="394">
        <v>1050</v>
      </c>
      <c r="H17" s="394">
        <f t="shared" si="6"/>
        <v>105</v>
      </c>
      <c r="I17" s="394">
        <f t="shared" si="7"/>
        <v>1050</v>
      </c>
      <c r="J17" s="416">
        <f t="shared" si="3"/>
        <v>105</v>
      </c>
      <c r="K17" s="62">
        <f t="shared" si="4"/>
        <v>1050</v>
      </c>
    </row>
    <row r="18" s="62" customFormat="1" ht="18" customHeight="1" spans="1:11">
      <c r="A18" s="398"/>
      <c r="B18" s="402" t="s">
        <v>468</v>
      </c>
      <c r="C18" s="403" t="s">
        <v>469</v>
      </c>
      <c r="D18" s="404" t="s">
        <v>305</v>
      </c>
      <c r="E18" s="404">
        <v>1</v>
      </c>
      <c r="F18" s="90">
        <f t="shared" si="5"/>
        <v>162</v>
      </c>
      <c r="G18" s="394">
        <v>1620</v>
      </c>
      <c r="H18" s="394">
        <f t="shared" si="6"/>
        <v>162</v>
      </c>
      <c r="I18" s="394">
        <f t="shared" si="7"/>
        <v>1620</v>
      </c>
      <c r="J18" s="416">
        <f t="shared" si="3"/>
        <v>162</v>
      </c>
      <c r="K18" s="62">
        <f t="shared" si="4"/>
        <v>1620</v>
      </c>
    </row>
    <row r="19" s="62" customFormat="1" ht="18" customHeight="1" spans="1:11">
      <c r="A19" s="398"/>
      <c r="B19" s="402" t="s">
        <v>470</v>
      </c>
      <c r="C19" s="403" t="s">
        <v>463</v>
      </c>
      <c r="D19" s="404" t="s">
        <v>453</v>
      </c>
      <c r="E19" s="404">
        <v>1</v>
      </c>
      <c r="F19" s="90">
        <f t="shared" si="5"/>
        <v>650</v>
      </c>
      <c r="G19" s="394">
        <v>6500</v>
      </c>
      <c r="H19" s="394">
        <f t="shared" si="6"/>
        <v>650</v>
      </c>
      <c r="I19" s="394">
        <f t="shared" si="7"/>
        <v>6500</v>
      </c>
      <c r="J19" s="416">
        <f t="shared" si="3"/>
        <v>650</v>
      </c>
      <c r="K19" s="62">
        <f t="shared" si="4"/>
        <v>6500</v>
      </c>
    </row>
    <row r="20" s="62" customFormat="1" ht="18" customHeight="1" spans="1:11">
      <c r="A20" s="398"/>
      <c r="B20" s="402" t="s">
        <v>464</v>
      </c>
      <c r="C20" s="403" t="s">
        <v>471</v>
      </c>
      <c r="D20" s="404" t="s">
        <v>453</v>
      </c>
      <c r="E20" s="404">
        <v>1</v>
      </c>
      <c r="F20" s="90">
        <f t="shared" si="5"/>
        <v>60</v>
      </c>
      <c r="G20" s="394">
        <v>600</v>
      </c>
      <c r="H20" s="394">
        <f t="shared" si="6"/>
        <v>60</v>
      </c>
      <c r="I20" s="394">
        <f t="shared" si="7"/>
        <v>600</v>
      </c>
      <c r="J20" s="416">
        <f t="shared" si="3"/>
        <v>60</v>
      </c>
      <c r="K20" s="62">
        <f t="shared" si="4"/>
        <v>600</v>
      </c>
    </row>
    <row r="21" s="62" customFormat="1" ht="18" customHeight="1" spans="1:11">
      <c r="A21" s="398"/>
      <c r="B21" s="402" t="s">
        <v>472</v>
      </c>
      <c r="C21" s="403" t="s">
        <v>473</v>
      </c>
      <c r="D21" s="404" t="s">
        <v>453</v>
      </c>
      <c r="E21" s="404">
        <v>1</v>
      </c>
      <c r="F21" s="90">
        <f t="shared" si="5"/>
        <v>1500</v>
      </c>
      <c r="G21" s="394">
        <v>15000</v>
      </c>
      <c r="H21" s="394">
        <f t="shared" si="6"/>
        <v>1500</v>
      </c>
      <c r="I21" s="394">
        <f t="shared" si="7"/>
        <v>15000</v>
      </c>
      <c r="J21" s="416">
        <f t="shared" si="3"/>
        <v>1500</v>
      </c>
      <c r="K21" s="62">
        <f t="shared" si="4"/>
        <v>15000</v>
      </c>
    </row>
    <row r="22" s="62" customFormat="1" ht="18" customHeight="1" spans="1:11">
      <c r="A22" s="398"/>
      <c r="B22" s="402" t="s">
        <v>474</v>
      </c>
      <c r="C22" s="403" t="s">
        <v>475</v>
      </c>
      <c r="D22" s="404" t="s">
        <v>453</v>
      </c>
      <c r="E22" s="404">
        <v>2</v>
      </c>
      <c r="F22" s="90">
        <f t="shared" si="5"/>
        <v>1050</v>
      </c>
      <c r="G22" s="394">
        <f>8500+2000</f>
        <v>10500</v>
      </c>
      <c r="H22" s="394">
        <f t="shared" si="6"/>
        <v>2100</v>
      </c>
      <c r="I22" s="394">
        <f t="shared" si="7"/>
        <v>21000</v>
      </c>
      <c r="J22" s="416">
        <f t="shared" si="3"/>
        <v>2100</v>
      </c>
      <c r="K22" s="62">
        <f t="shared" si="4"/>
        <v>21000</v>
      </c>
    </row>
    <row r="23" s="62" customFormat="1" ht="18" customHeight="1" spans="1:11">
      <c r="A23" s="398"/>
      <c r="B23" s="402" t="s">
        <v>476</v>
      </c>
      <c r="C23" s="403" t="s">
        <v>477</v>
      </c>
      <c r="D23" s="404" t="s">
        <v>453</v>
      </c>
      <c r="E23" s="404">
        <v>2</v>
      </c>
      <c r="F23" s="90">
        <f t="shared" si="5"/>
        <v>256</v>
      </c>
      <c r="G23" s="394">
        <v>2560</v>
      </c>
      <c r="H23" s="394">
        <f t="shared" si="6"/>
        <v>512</v>
      </c>
      <c r="I23" s="394">
        <f t="shared" si="7"/>
        <v>5120</v>
      </c>
      <c r="J23" s="416">
        <f t="shared" si="3"/>
        <v>512</v>
      </c>
      <c r="K23" s="62">
        <f t="shared" si="4"/>
        <v>5120</v>
      </c>
    </row>
    <row r="24" s="62" customFormat="1" ht="18" customHeight="1" spans="1:11">
      <c r="A24" s="398"/>
      <c r="B24" s="405" t="s">
        <v>478</v>
      </c>
      <c r="C24" s="403" t="s">
        <v>479</v>
      </c>
      <c r="D24" s="404" t="s">
        <v>453</v>
      </c>
      <c r="E24" s="404">
        <v>2</v>
      </c>
      <c r="F24" s="90">
        <f t="shared" si="5"/>
        <v>86</v>
      </c>
      <c r="G24" s="394">
        <v>860</v>
      </c>
      <c r="H24" s="394">
        <f t="shared" si="6"/>
        <v>172</v>
      </c>
      <c r="I24" s="394">
        <f t="shared" si="7"/>
        <v>1720</v>
      </c>
      <c r="J24" s="416">
        <f t="shared" si="3"/>
        <v>172</v>
      </c>
      <c r="K24" s="62">
        <f t="shared" si="4"/>
        <v>1720</v>
      </c>
    </row>
    <row r="25" s="62" customFormat="1" ht="18" customHeight="1" spans="1:11">
      <c r="A25" s="398"/>
      <c r="B25" s="399" t="s">
        <v>480</v>
      </c>
      <c r="C25" s="401"/>
      <c r="D25" s="7"/>
      <c r="E25" s="123"/>
      <c r="F25" s="90"/>
      <c r="G25" s="394"/>
      <c r="H25" s="394"/>
      <c r="I25" s="394"/>
      <c r="J25" s="416">
        <f t="shared" si="3"/>
        <v>0</v>
      </c>
      <c r="K25" s="62">
        <f t="shared" si="4"/>
        <v>0</v>
      </c>
    </row>
    <row r="26" s="62" customFormat="1" ht="18" customHeight="1" spans="1:11">
      <c r="A26" s="398"/>
      <c r="B26" s="402" t="s">
        <v>481</v>
      </c>
      <c r="C26" s="403" t="s">
        <v>482</v>
      </c>
      <c r="D26" s="404" t="s">
        <v>453</v>
      </c>
      <c r="E26" s="404">
        <v>1</v>
      </c>
      <c r="F26" s="90">
        <f t="shared" ref="F26:F60" si="8">G26*0.1</f>
        <v>382.5</v>
      </c>
      <c r="G26" s="394">
        <f>0.085*45000</f>
        <v>3825</v>
      </c>
      <c r="H26" s="394">
        <f t="shared" ref="H26:H60" si="9">E26*F26</f>
        <v>382.5</v>
      </c>
      <c r="I26" s="394">
        <f t="shared" ref="I26:I60" si="10">E26*G26</f>
        <v>3825</v>
      </c>
      <c r="J26" s="416">
        <f t="shared" si="3"/>
        <v>382.5</v>
      </c>
      <c r="K26" s="62">
        <f t="shared" si="4"/>
        <v>3825</v>
      </c>
    </row>
    <row r="27" s="62" customFormat="1" ht="18" customHeight="1" spans="1:11">
      <c r="A27" s="398"/>
      <c r="B27" s="402" t="s">
        <v>454</v>
      </c>
      <c r="C27" s="403" t="s">
        <v>455</v>
      </c>
      <c r="D27" s="404" t="s">
        <v>453</v>
      </c>
      <c r="E27" s="404">
        <v>1</v>
      </c>
      <c r="F27" s="90">
        <f t="shared" si="8"/>
        <v>60</v>
      </c>
      <c r="G27" s="394">
        <f>G10</f>
        <v>600</v>
      </c>
      <c r="H27" s="394">
        <f t="shared" si="9"/>
        <v>60</v>
      </c>
      <c r="I27" s="394">
        <f t="shared" si="10"/>
        <v>600</v>
      </c>
      <c r="J27" s="416">
        <f t="shared" si="3"/>
        <v>60</v>
      </c>
      <c r="K27" s="62">
        <f t="shared" si="4"/>
        <v>600</v>
      </c>
    </row>
    <row r="28" s="62" customFormat="1" ht="18" customHeight="1" spans="1:11">
      <c r="A28" s="398"/>
      <c r="B28" s="402" t="s">
        <v>456</v>
      </c>
      <c r="C28" s="403" t="s">
        <v>457</v>
      </c>
      <c r="D28" s="404" t="s">
        <v>453</v>
      </c>
      <c r="E28" s="404">
        <v>1</v>
      </c>
      <c r="F28" s="90">
        <f t="shared" si="8"/>
        <v>690</v>
      </c>
      <c r="G28" s="394">
        <f>G11</f>
        <v>6900</v>
      </c>
      <c r="H28" s="394">
        <f t="shared" si="9"/>
        <v>690</v>
      </c>
      <c r="I28" s="394">
        <f t="shared" si="10"/>
        <v>6900</v>
      </c>
      <c r="J28" s="416">
        <f t="shared" si="3"/>
        <v>690</v>
      </c>
      <c r="K28" s="62">
        <f t="shared" si="4"/>
        <v>6900</v>
      </c>
    </row>
    <row r="29" s="62" customFormat="1" ht="18" customHeight="1" spans="1:11">
      <c r="A29" s="398"/>
      <c r="B29" s="402" t="s">
        <v>458</v>
      </c>
      <c r="C29" s="403" t="s">
        <v>483</v>
      </c>
      <c r="D29" s="404" t="s">
        <v>453</v>
      </c>
      <c r="E29" s="404">
        <v>1</v>
      </c>
      <c r="F29" s="90">
        <f t="shared" si="8"/>
        <v>36</v>
      </c>
      <c r="G29" s="394">
        <v>360</v>
      </c>
      <c r="H29" s="394">
        <f t="shared" si="9"/>
        <v>36</v>
      </c>
      <c r="I29" s="394">
        <f t="shared" si="10"/>
        <v>360</v>
      </c>
      <c r="J29" s="416">
        <f t="shared" si="3"/>
        <v>36</v>
      </c>
      <c r="K29" s="62">
        <f t="shared" si="4"/>
        <v>360</v>
      </c>
    </row>
    <row r="30" s="62" customFormat="1" ht="18" customHeight="1" spans="1:11">
      <c r="A30" s="398"/>
      <c r="B30" s="402" t="s">
        <v>459</v>
      </c>
      <c r="C30" s="403" t="s">
        <v>484</v>
      </c>
      <c r="D30" s="404" t="s">
        <v>453</v>
      </c>
      <c r="E30" s="404">
        <v>1</v>
      </c>
      <c r="F30" s="90">
        <f t="shared" si="8"/>
        <v>640</v>
      </c>
      <c r="G30" s="394">
        <f>6400</f>
        <v>6400</v>
      </c>
      <c r="H30" s="394">
        <f t="shared" si="9"/>
        <v>640</v>
      </c>
      <c r="I30" s="394">
        <f t="shared" si="10"/>
        <v>6400</v>
      </c>
      <c r="J30" s="416">
        <f t="shared" si="3"/>
        <v>640</v>
      </c>
      <c r="K30" s="62">
        <f t="shared" si="4"/>
        <v>6400</v>
      </c>
    </row>
    <row r="31" s="62" customFormat="1" ht="18" customHeight="1" spans="1:11">
      <c r="A31" s="398"/>
      <c r="B31" s="402" t="s">
        <v>485</v>
      </c>
      <c r="C31" s="403" t="s">
        <v>486</v>
      </c>
      <c r="D31" s="404" t="s">
        <v>305</v>
      </c>
      <c r="E31" s="404">
        <v>1</v>
      </c>
      <c r="F31" s="90">
        <f t="shared" si="8"/>
        <v>1200</v>
      </c>
      <c r="G31" s="394">
        <f>60*200</f>
        <v>12000</v>
      </c>
      <c r="H31" s="394">
        <f t="shared" si="9"/>
        <v>1200</v>
      </c>
      <c r="I31" s="394">
        <f t="shared" si="10"/>
        <v>12000</v>
      </c>
      <c r="J31" s="416">
        <f t="shared" si="3"/>
        <v>1200</v>
      </c>
      <c r="K31" s="62">
        <f t="shared" si="4"/>
        <v>12000</v>
      </c>
    </row>
    <row r="32" s="62" customFormat="1" ht="18" customHeight="1" spans="1:11">
      <c r="A32" s="398"/>
      <c r="B32" s="402" t="s">
        <v>462</v>
      </c>
      <c r="C32" s="403" t="s">
        <v>487</v>
      </c>
      <c r="D32" s="404" t="s">
        <v>453</v>
      </c>
      <c r="E32" s="404">
        <v>1</v>
      </c>
      <c r="F32" s="90">
        <f t="shared" si="8"/>
        <v>155</v>
      </c>
      <c r="G32" s="394">
        <f>1550</f>
        <v>1550</v>
      </c>
      <c r="H32" s="394">
        <f t="shared" si="9"/>
        <v>155</v>
      </c>
      <c r="I32" s="394">
        <f t="shared" si="10"/>
        <v>1550</v>
      </c>
      <c r="J32" s="416">
        <f t="shared" si="3"/>
        <v>155</v>
      </c>
      <c r="K32" s="62">
        <f t="shared" si="4"/>
        <v>1550</v>
      </c>
    </row>
    <row r="33" s="62" customFormat="1" ht="18" customHeight="1" spans="1:11">
      <c r="A33" s="398"/>
      <c r="B33" s="402" t="s">
        <v>464</v>
      </c>
      <c r="C33" s="403" t="s">
        <v>488</v>
      </c>
      <c r="D33" s="404" t="s">
        <v>453</v>
      </c>
      <c r="E33" s="404">
        <v>1</v>
      </c>
      <c r="F33" s="90">
        <f t="shared" si="8"/>
        <v>36</v>
      </c>
      <c r="G33" s="394">
        <v>360</v>
      </c>
      <c r="H33" s="394">
        <f t="shared" si="9"/>
        <v>36</v>
      </c>
      <c r="I33" s="394">
        <f t="shared" si="10"/>
        <v>360</v>
      </c>
      <c r="J33" s="416">
        <f t="shared" si="3"/>
        <v>36</v>
      </c>
      <c r="K33" s="62">
        <f t="shared" si="4"/>
        <v>360</v>
      </c>
    </row>
    <row r="34" s="62" customFormat="1" ht="18" customHeight="1" spans="1:11">
      <c r="A34" s="398"/>
      <c r="B34" s="402" t="s">
        <v>466</v>
      </c>
      <c r="C34" s="403" t="s">
        <v>489</v>
      </c>
      <c r="D34" s="404" t="s">
        <v>453</v>
      </c>
      <c r="E34" s="404">
        <v>1</v>
      </c>
      <c r="F34" s="90">
        <f t="shared" si="8"/>
        <v>60</v>
      </c>
      <c r="G34" s="394">
        <v>600</v>
      </c>
      <c r="H34" s="394">
        <f t="shared" si="9"/>
        <v>60</v>
      </c>
      <c r="I34" s="394">
        <f t="shared" si="10"/>
        <v>600</v>
      </c>
      <c r="J34" s="416">
        <f t="shared" si="3"/>
        <v>60</v>
      </c>
      <c r="K34" s="62">
        <f t="shared" si="4"/>
        <v>600</v>
      </c>
    </row>
    <row r="35" s="62" customFormat="1" ht="18" customHeight="1" spans="1:11">
      <c r="A35" s="398"/>
      <c r="B35" s="402" t="s">
        <v>468</v>
      </c>
      <c r="C35" s="403" t="s">
        <v>490</v>
      </c>
      <c r="D35" s="404" t="s">
        <v>305</v>
      </c>
      <c r="E35" s="404">
        <v>1</v>
      </c>
      <c r="F35" s="90">
        <f t="shared" si="8"/>
        <v>79</v>
      </c>
      <c r="G35" s="394">
        <v>790</v>
      </c>
      <c r="H35" s="394">
        <f t="shared" si="9"/>
        <v>79</v>
      </c>
      <c r="I35" s="394">
        <f t="shared" si="10"/>
        <v>790</v>
      </c>
      <c r="J35" s="416">
        <f t="shared" si="3"/>
        <v>79</v>
      </c>
      <c r="K35" s="62">
        <f t="shared" si="4"/>
        <v>790</v>
      </c>
    </row>
    <row r="36" s="62" customFormat="1" ht="18" customHeight="1" spans="1:11">
      <c r="A36" s="398"/>
      <c r="B36" s="402" t="s">
        <v>470</v>
      </c>
      <c r="C36" s="403" t="s">
        <v>487</v>
      </c>
      <c r="D36" s="404" t="s">
        <v>453</v>
      </c>
      <c r="E36" s="404">
        <v>1</v>
      </c>
      <c r="F36" s="90">
        <f t="shared" si="8"/>
        <v>550</v>
      </c>
      <c r="G36" s="394">
        <v>5500</v>
      </c>
      <c r="H36" s="394">
        <f t="shared" si="9"/>
        <v>550</v>
      </c>
      <c r="I36" s="394">
        <f t="shared" si="10"/>
        <v>5500</v>
      </c>
      <c r="J36" s="416">
        <f t="shared" si="3"/>
        <v>550</v>
      </c>
      <c r="K36" s="62">
        <f t="shared" si="4"/>
        <v>5500</v>
      </c>
    </row>
    <row r="37" s="62" customFormat="1" ht="18" customHeight="1" spans="1:11">
      <c r="A37" s="398"/>
      <c r="B37" s="402" t="s">
        <v>464</v>
      </c>
      <c r="C37" s="403" t="s">
        <v>491</v>
      </c>
      <c r="D37" s="404" t="s">
        <v>453</v>
      </c>
      <c r="E37" s="404">
        <v>1</v>
      </c>
      <c r="F37" s="90">
        <f t="shared" si="8"/>
        <v>36</v>
      </c>
      <c r="G37" s="394">
        <v>360</v>
      </c>
      <c r="H37" s="394">
        <f t="shared" si="9"/>
        <v>36</v>
      </c>
      <c r="I37" s="394">
        <f t="shared" si="10"/>
        <v>360</v>
      </c>
      <c r="J37" s="416">
        <f t="shared" si="3"/>
        <v>36</v>
      </c>
      <c r="K37" s="62">
        <f t="shared" si="4"/>
        <v>360</v>
      </c>
    </row>
    <row r="38" s="62" customFormat="1" ht="18" customHeight="1" spans="1:11">
      <c r="A38" s="398"/>
      <c r="B38" s="402" t="s">
        <v>472</v>
      </c>
      <c r="C38" s="403" t="s">
        <v>473</v>
      </c>
      <c r="D38" s="404" t="s">
        <v>453</v>
      </c>
      <c r="E38" s="404">
        <v>1</v>
      </c>
      <c r="F38" s="90">
        <f t="shared" si="8"/>
        <v>1500</v>
      </c>
      <c r="G38" s="394">
        <v>15000</v>
      </c>
      <c r="H38" s="394">
        <f t="shared" si="9"/>
        <v>1500</v>
      </c>
      <c r="I38" s="394">
        <f t="shared" si="10"/>
        <v>15000</v>
      </c>
      <c r="J38" s="416">
        <f t="shared" si="3"/>
        <v>1500</v>
      </c>
      <c r="K38" s="62">
        <f t="shared" si="4"/>
        <v>15000</v>
      </c>
    </row>
    <row r="39" s="62" customFormat="1" ht="18" customHeight="1" spans="1:11">
      <c r="A39" s="398"/>
      <c r="B39" s="402" t="s">
        <v>474</v>
      </c>
      <c r="C39" s="403" t="s">
        <v>475</v>
      </c>
      <c r="D39" s="404" t="s">
        <v>453</v>
      </c>
      <c r="E39" s="404">
        <v>2</v>
      </c>
      <c r="F39" s="90">
        <f t="shared" si="8"/>
        <v>1050</v>
      </c>
      <c r="G39" s="538">
        <f>G22</f>
        <v>10500</v>
      </c>
      <c r="H39" s="394">
        <f t="shared" si="9"/>
        <v>2100</v>
      </c>
      <c r="I39" s="394">
        <f t="shared" si="10"/>
        <v>21000</v>
      </c>
      <c r="J39" s="416">
        <f t="shared" si="3"/>
        <v>2100</v>
      </c>
      <c r="K39" s="62">
        <f t="shared" si="4"/>
        <v>21000</v>
      </c>
    </row>
    <row r="40" s="62" customFormat="1" ht="18" customHeight="1" spans="1:11">
      <c r="A40" s="398"/>
      <c r="B40" s="402" t="s">
        <v>476</v>
      </c>
      <c r="C40" s="403" t="s">
        <v>477</v>
      </c>
      <c r="D40" s="404" t="s">
        <v>453</v>
      </c>
      <c r="E40" s="404">
        <v>2</v>
      </c>
      <c r="F40" s="90">
        <f t="shared" si="8"/>
        <v>256</v>
      </c>
      <c r="G40" s="538">
        <f>G23</f>
        <v>2560</v>
      </c>
      <c r="H40" s="394">
        <f t="shared" si="9"/>
        <v>512</v>
      </c>
      <c r="I40" s="394">
        <f t="shared" si="10"/>
        <v>5120</v>
      </c>
      <c r="J40" s="416">
        <f t="shared" si="3"/>
        <v>512</v>
      </c>
      <c r="K40" s="62">
        <f t="shared" si="4"/>
        <v>5120</v>
      </c>
    </row>
    <row r="41" s="62" customFormat="1" ht="18" customHeight="1" spans="1:11">
      <c r="A41" s="398"/>
      <c r="B41" s="405" t="s">
        <v>478</v>
      </c>
      <c r="C41" s="403" t="s">
        <v>479</v>
      </c>
      <c r="D41" s="404" t="s">
        <v>453</v>
      </c>
      <c r="E41" s="404">
        <v>1</v>
      </c>
      <c r="F41" s="90">
        <f t="shared" si="8"/>
        <v>86</v>
      </c>
      <c r="G41" s="394">
        <f>G24</f>
        <v>860</v>
      </c>
      <c r="H41" s="394">
        <f t="shared" si="9"/>
        <v>86</v>
      </c>
      <c r="I41" s="394">
        <f t="shared" si="10"/>
        <v>860</v>
      </c>
      <c r="J41" s="416">
        <f t="shared" si="3"/>
        <v>86</v>
      </c>
      <c r="K41" s="62">
        <f t="shared" si="4"/>
        <v>860</v>
      </c>
    </row>
    <row r="42" s="62" customFormat="1" ht="18" customHeight="1" spans="1:11">
      <c r="A42" s="398"/>
      <c r="B42" s="405" t="s">
        <v>478</v>
      </c>
      <c r="C42" s="403" t="s">
        <v>492</v>
      </c>
      <c r="D42" s="404" t="s">
        <v>453</v>
      </c>
      <c r="E42" s="404">
        <v>1</v>
      </c>
      <c r="F42" s="90">
        <f t="shared" si="8"/>
        <v>80</v>
      </c>
      <c r="G42" s="394">
        <v>800</v>
      </c>
      <c r="H42" s="394">
        <f t="shared" si="9"/>
        <v>80</v>
      </c>
      <c r="I42" s="394">
        <f t="shared" si="10"/>
        <v>800</v>
      </c>
      <c r="J42" s="416">
        <f t="shared" ref="J42:J69" si="11">E42*F42</f>
        <v>80</v>
      </c>
      <c r="K42" s="62">
        <f t="shared" ref="K42:K62" si="12">E42*G42</f>
        <v>800</v>
      </c>
    </row>
    <row r="43" s="62" customFormat="1" ht="18" customHeight="1" spans="1:11">
      <c r="A43" s="398"/>
      <c r="B43" s="399" t="s">
        <v>493</v>
      </c>
      <c r="C43" s="401"/>
      <c r="D43" s="7"/>
      <c r="E43" s="123"/>
      <c r="F43" s="90"/>
      <c r="G43" s="394"/>
      <c r="H43" s="394"/>
      <c r="I43" s="394"/>
      <c r="J43" s="416">
        <f t="shared" si="11"/>
        <v>0</v>
      </c>
      <c r="K43" s="62">
        <f t="shared" si="12"/>
        <v>0</v>
      </c>
    </row>
    <row r="44" s="62" customFormat="1" ht="18" customHeight="1" spans="1:11">
      <c r="A44" s="398"/>
      <c r="B44" s="402" t="s">
        <v>481</v>
      </c>
      <c r="C44" s="403" t="s">
        <v>494</v>
      </c>
      <c r="D44" s="404" t="s">
        <v>453</v>
      </c>
      <c r="E44" s="404">
        <v>1</v>
      </c>
      <c r="F44" s="90">
        <f t="shared" si="8"/>
        <v>315</v>
      </c>
      <c r="G44" s="394">
        <f>0.07*45000</f>
        <v>3150</v>
      </c>
      <c r="H44" s="394">
        <f t="shared" si="9"/>
        <v>315</v>
      </c>
      <c r="I44" s="394">
        <f t="shared" si="10"/>
        <v>3150</v>
      </c>
      <c r="J44" s="416">
        <f t="shared" si="11"/>
        <v>315</v>
      </c>
      <c r="K44" s="62">
        <f t="shared" si="12"/>
        <v>3150</v>
      </c>
    </row>
    <row r="45" s="62" customFormat="1" ht="18" customHeight="1" spans="1:11">
      <c r="A45" s="398"/>
      <c r="B45" s="402" t="s">
        <v>454</v>
      </c>
      <c r="C45" s="403" t="s">
        <v>455</v>
      </c>
      <c r="D45" s="404" t="s">
        <v>453</v>
      </c>
      <c r="E45" s="404">
        <v>1</v>
      </c>
      <c r="F45" s="90">
        <f t="shared" si="8"/>
        <v>60</v>
      </c>
      <c r="G45" s="394">
        <f>G10</f>
        <v>600</v>
      </c>
      <c r="H45" s="394">
        <f t="shared" si="9"/>
        <v>60</v>
      </c>
      <c r="I45" s="394">
        <f t="shared" si="10"/>
        <v>600</v>
      </c>
      <c r="J45" s="416">
        <f t="shared" si="11"/>
        <v>60</v>
      </c>
      <c r="K45" s="62">
        <f t="shared" si="12"/>
        <v>600</v>
      </c>
    </row>
    <row r="46" s="62" customFormat="1" ht="18" customHeight="1" spans="1:11">
      <c r="A46" s="398"/>
      <c r="B46" s="402" t="s">
        <v>456</v>
      </c>
      <c r="C46" s="403" t="s">
        <v>457</v>
      </c>
      <c r="D46" s="404" t="s">
        <v>453</v>
      </c>
      <c r="E46" s="404">
        <v>1</v>
      </c>
      <c r="F46" s="90">
        <f t="shared" si="8"/>
        <v>690</v>
      </c>
      <c r="G46" s="394">
        <f>G11</f>
        <v>6900</v>
      </c>
      <c r="H46" s="394">
        <f t="shared" si="9"/>
        <v>690</v>
      </c>
      <c r="I46" s="394">
        <f t="shared" si="10"/>
        <v>6900</v>
      </c>
      <c r="J46" s="416">
        <f t="shared" si="11"/>
        <v>690</v>
      </c>
      <c r="K46" s="62">
        <f t="shared" si="12"/>
        <v>6900</v>
      </c>
    </row>
    <row r="47" s="62" customFormat="1" ht="18" customHeight="1" spans="1:11">
      <c r="A47" s="398"/>
      <c r="B47" s="402" t="s">
        <v>458</v>
      </c>
      <c r="C47" s="403" t="s">
        <v>483</v>
      </c>
      <c r="D47" s="404" t="s">
        <v>453</v>
      </c>
      <c r="E47" s="404">
        <v>1</v>
      </c>
      <c r="F47" s="90">
        <f t="shared" si="8"/>
        <v>36</v>
      </c>
      <c r="G47" s="394">
        <f>G33</f>
        <v>360</v>
      </c>
      <c r="H47" s="394">
        <f t="shared" si="9"/>
        <v>36</v>
      </c>
      <c r="I47" s="394">
        <f t="shared" si="10"/>
        <v>360</v>
      </c>
      <c r="J47" s="416">
        <f t="shared" si="11"/>
        <v>36</v>
      </c>
      <c r="K47" s="62">
        <f t="shared" si="12"/>
        <v>360</v>
      </c>
    </row>
    <row r="48" s="62" customFormat="1" ht="18" customHeight="1" spans="1:11">
      <c r="A48" s="398"/>
      <c r="B48" s="402" t="s">
        <v>459</v>
      </c>
      <c r="C48" s="403" t="s">
        <v>484</v>
      </c>
      <c r="D48" s="404" t="s">
        <v>453</v>
      </c>
      <c r="E48" s="404">
        <v>1</v>
      </c>
      <c r="F48" s="90">
        <f t="shared" si="8"/>
        <v>640</v>
      </c>
      <c r="G48" s="394">
        <f>G30</f>
        <v>6400</v>
      </c>
      <c r="H48" s="394">
        <f t="shared" si="9"/>
        <v>640</v>
      </c>
      <c r="I48" s="394">
        <f t="shared" si="10"/>
        <v>6400</v>
      </c>
      <c r="J48" s="416">
        <f t="shared" si="11"/>
        <v>640</v>
      </c>
      <c r="K48" s="62">
        <f t="shared" si="12"/>
        <v>6400</v>
      </c>
    </row>
    <row r="49" s="62" customFormat="1" ht="18" customHeight="1" spans="1:11">
      <c r="A49" s="398"/>
      <c r="B49" s="402" t="s">
        <v>485</v>
      </c>
      <c r="C49" s="403" t="s">
        <v>486</v>
      </c>
      <c r="D49" s="404" t="s">
        <v>305</v>
      </c>
      <c r="E49" s="404">
        <v>1</v>
      </c>
      <c r="F49" s="90">
        <f t="shared" si="8"/>
        <v>1200</v>
      </c>
      <c r="G49" s="394">
        <f>G31</f>
        <v>12000</v>
      </c>
      <c r="H49" s="394">
        <f t="shared" si="9"/>
        <v>1200</v>
      </c>
      <c r="I49" s="394">
        <f t="shared" si="10"/>
        <v>12000</v>
      </c>
      <c r="J49" s="416">
        <f t="shared" si="11"/>
        <v>1200</v>
      </c>
      <c r="K49" s="62">
        <f t="shared" si="12"/>
        <v>12000</v>
      </c>
    </row>
    <row r="50" s="62" customFormat="1" ht="18" customHeight="1" spans="1:11">
      <c r="A50" s="398"/>
      <c r="B50" s="402" t="s">
        <v>462</v>
      </c>
      <c r="C50" s="403" t="s">
        <v>487</v>
      </c>
      <c r="D50" s="404" t="s">
        <v>453</v>
      </c>
      <c r="E50" s="404">
        <v>1</v>
      </c>
      <c r="F50" s="90">
        <f t="shared" si="8"/>
        <v>155</v>
      </c>
      <c r="G50" s="394">
        <f>G32</f>
        <v>1550</v>
      </c>
      <c r="H50" s="394">
        <f t="shared" si="9"/>
        <v>155</v>
      </c>
      <c r="I50" s="394">
        <f t="shared" si="10"/>
        <v>1550</v>
      </c>
      <c r="J50" s="416">
        <f t="shared" si="11"/>
        <v>155</v>
      </c>
      <c r="K50" s="62">
        <f t="shared" si="12"/>
        <v>1550</v>
      </c>
    </row>
    <row r="51" s="62" customFormat="1" ht="18" customHeight="1" spans="1:11">
      <c r="A51" s="398"/>
      <c r="B51" s="402" t="s">
        <v>464</v>
      </c>
      <c r="C51" s="403" t="s">
        <v>488</v>
      </c>
      <c r="D51" s="404" t="s">
        <v>453</v>
      </c>
      <c r="E51" s="404">
        <v>1</v>
      </c>
      <c r="F51" s="90">
        <f t="shared" si="8"/>
        <v>36</v>
      </c>
      <c r="G51" s="394">
        <f t="shared" ref="G51:G60" si="13">G33</f>
        <v>360</v>
      </c>
      <c r="H51" s="394">
        <f t="shared" si="9"/>
        <v>36</v>
      </c>
      <c r="I51" s="394">
        <f t="shared" si="10"/>
        <v>360</v>
      </c>
      <c r="J51" s="416">
        <f t="shared" si="11"/>
        <v>36</v>
      </c>
      <c r="K51" s="62">
        <f t="shared" si="12"/>
        <v>360</v>
      </c>
    </row>
    <row r="52" s="62" customFormat="1" ht="18" customHeight="1" spans="1:11">
      <c r="A52" s="398"/>
      <c r="B52" s="402" t="s">
        <v>466</v>
      </c>
      <c r="C52" s="403" t="s">
        <v>489</v>
      </c>
      <c r="D52" s="404" t="s">
        <v>453</v>
      </c>
      <c r="E52" s="404">
        <v>1</v>
      </c>
      <c r="F52" s="90">
        <f t="shared" si="8"/>
        <v>60</v>
      </c>
      <c r="G52" s="394">
        <f t="shared" si="13"/>
        <v>600</v>
      </c>
      <c r="H52" s="394">
        <f t="shared" si="9"/>
        <v>60</v>
      </c>
      <c r="I52" s="394">
        <f t="shared" si="10"/>
        <v>600</v>
      </c>
      <c r="J52" s="416">
        <f t="shared" si="11"/>
        <v>60</v>
      </c>
      <c r="K52" s="62">
        <f t="shared" si="12"/>
        <v>600</v>
      </c>
    </row>
    <row r="53" s="62" customFormat="1" ht="18" customHeight="1" spans="1:11">
      <c r="A53" s="398"/>
      <c r="B53" s="402" t="s">
        <v>468</v>
      </c>
      <c r="C53" s="403" t="s">
        <v>490</v>
      </c>
      <c r="D53" s="404" t="s">
        <v>305</v>
      </c>
      <c r="E53" s="404">
        <v>1</v>
      </c>
      <c r="F53" s="90">
        <f t="shared" si="8"/>
        <v>79</v>
      </c>
      <c r="G53" s="394">
        <f t="shared" si="13"/>
        <v>790</v>
      </c>
      <c r="H53" s="394">
        <f t="shared" si="9"/>
        <v>79</v>
      </c>
      <c r="I53" s="394">
        <f t="shared" si="10"/>
        <v>790</v>
      </c>
      <c r="J53" s="416">
        <f t="shared" si="11"/>
        <v>79</v>
      </c>
      <c r="K53" s="62">
        <f t="shared" si="12"/>
        <v>790</v>
      </c>
    </row>
    <row r="54" s="62" customFormat="1" ht="18" customHeight="1" spans="1:11">
      <c r="A54" s="398"/>
      <c r="B54" s="402" t="s">
        <v>470</v>
      </c>
      <c r="C54" s="403" t="s">
        <v>487</v>
      </c>
      <c r="D54" s="404" t="s">
        <v>453</v>
      </c>
      <c r="E54" s="404">
        <v>1</v>
      </c>
      <c r="F54" s="90">
        <f t="shared" si="8"/>
        <v>550</v>
      </c>
      <c r="G54" s="394">
        <f t="shared" si="13"/>
        <v>5500</v>
      </c>
      <c r="H54" s="394">
        <f t="shared" si="9"/>
        <v>550</v>
      </c>
      <c r="I54" s="394">
        <f t="shared" si="10"/>
        <v>5500</v>
      </c>
      <c r="J54" s="416">
        <f t="shared" si="11"/>
        <v>550</v>
      </c>
      <c r="K54" s="62">
        <f t="shared" si="12"/>
        <v>5500</v>
      </c>
    </row>
    <row r="55" s="62" customFormat="1" ht="18" customHeight="1" spans="1:11">
      <c r="A55" s="398"/>
      <c r="B55" s="402" t="s">
        <v>464</v>
      </c>
      <c r="C55" s="403" t="s">
        <v>491</v>
      </c>
      <c r="D55" s="404" t="s">
        <v>453</v>
      </c>
      <c r="E55" s="404">
        <v>1</v>
      </c>
      <c r="F55" s="90">
        <f t="shared" si="8"/>
        <v>36</v>
      </c>
      <c r="G55" s="394">
        <f t="shared" si="13"/>
        <v>360</v>
      </c>
      <c r="H55" s="394">
        <f t="shared" si="9"/>
        <v>36</v>
      </c>
      <c r="I55" s="394">
        <f t="shared" si="10"/>
        <v>360</v>
      </c>
      <c r="J55" s="416">
        <f t="shared" si="11"/>
        <v>36</v>
      </c>
      <c r="K55" s="62">
        <f t="shared" si="12"/>
        <v>360</v>
      </c>
    </row>
    <row r="56" s="62" customFormat="1" ht="18" customHeight="1" spans="1:11">
      <c r="A56" s="398"/>
      <c r="B56" s="402" t="s">
        <v>472</v>
      </c>
      <c r="C56" s="403" t="s">
        <v>473</v>
      </c>
      <c r="D56" s="404" t="s">
        <v>453</v>
      </c>
      <c r="E56" s="404">
        <v>1</v>
      </c>
      <c r="F56" s="90">
        <f t="shared" si="8"/>
        <v>1500</v>
      </c>
      <c r="G56" s="394">
        <f t="shared" si="13"/>
        <v>15000</v>
      </c>
      <c r="H56" s="394">
        <f t="shared" si="9"/>
        <v>1500</v>
      </c>
      <c r="I56" s="394">
        <f t="shared" si="10"/>
        <v>15000</v>
      </c>
      <c r="J56" s="416">
        <f t="shared" si="11"/>
        <v>1500</v>
      </c>
      <c r="K56" s="62">
        <f t="shared" si="12"/>
        <v>15000</v>
      </c>
    </row>
    <row r="57" s="62" customFormat="1" ht="18" customHeight="1" spans="1:11">
      <c r="A57" s="398"/>
      <c r="B57" s="402" t="s">
        <v>474</v>
      </c>
      <c r="C57" s="403" t="s">
        <v>475</v>
      </c>
      <c r="D57" s="404" t="s">
        <v>453</v>
      </c>
      <c r="E57" s="404">
        <v>2</v>
      </c>
      <c r="F57" s="90">
        <f t="shared" si="8"/>
        <v>1050</v>
      </c>
      <c r="G57" s="394">
        <f t="shared" si="13"/>
        <v>10500</v>
      </c>
      <c r="H57" s="394">
        <f t="shared" si="9"/>
        <v>2100</v>
      </c>
      <c r="I57" s="394">
        <f t="shared" si="10"/>
        <v>21000</v>
      </c>
      <c r="J57" s="416">
        <f t="shared" si="11"/>
        <v>2100</v>
      </c>
      <c r="K57" s="62">
        <f t="shared" si="12"/>
        <v>21000</v>
      </c>
    </row>
    <row r="58" s="62" customFormat="1" ht="18" customHeight="1" spans="1:11">
      <c r="A58" s="398"/>
      <c r="B58" s="402" t="s">
        <v>476</v>
      </c>
      <c r="C58" s="403" t="s">
        <v>477</v>
      </c>
      <c r="D58" s="404" t="s">
        <v>453</v>
      </c>
      <c r="E58" s="404">
        <v>2</v>
      </c>
      <c r="F58" s="90">
        <f t="shared" si="8"/>
        <v>256</v>
      </c>
      <c r="G58" s="394">
        <f t="shared" si="13"/>
        <v>2560</v>
      </c>
      <c r="H58" s="394">
        <f t="shared" si="9"/>
        <v>512</v>
      </c>
      <c r="I58" s="394">
        <f t="shared" si="10"/>
        <v>5120</v>
      </c>
      <c r="J58" s="416">
        <f t="shared" si="11"/>
        <v>512</v>
      </c>
      <c r="K58" s="62">
        <f t="shared" si="12"/>
        <v>5120</v>
      </c>
    </row>
    <row r="59" s="62" customFormat="1" ht="18" customHeight="1" spans="1:11">
      <c r="A59" s="398"/>
      <c r="B59" s="405" t="s">
        <v>478</v>
      </c>
      <c r="C59" s="403" t="s">
        <v>479</v>
      </c>
      <c r="D59" s="404" t="s">
        <v>453</v>
      </c>
      <c r="E59" s="404">
        <v>1</v>
      </c>
      <c r="F59" s="90">
        <f t="shared" si="8"/>
        <v>86</v>
      </c>
      <c r="G59" s="394">
        <f t="shared" si="13"/>
        <v>860</v>
      </c>
      <c r="H59" s="394">
        <f t="shared" si="9"/>
        <v>86</v>
      </c>
      <c r="I59" s="394">
        <f t="shared" si="10"/>
        <v>860</v>
      </c>
      <c r="J59" s="416">
        <f t="shared" si="11"/>
        <v>86</v>
      </c>
      <c r="K59" s="62">
        <f t="shared" si="12"/>
        <v>860</v>
      </c>
    </row>
    <row r="60" s="62" customFormat="1" ht="18" customHeight="1" spans="1:11">
      <c r="A60" s="398"/>
      <c r="B60" s="405" t="s">
        <v>478</v>
      </c>
      <c r="C60" s="403" t="s">
        <v>492</v>
      </c>
      <c r="D60" s="404" t="s">
        <v>453</v>
      </c>
      <c r="E60" s="404">
        <v>1</v>
      </c>
      <c r="F60" s="90">
        <f t="shared" si="8"/>
        <v>80</v>
      </c>
      <c r="G60" s="394">
        <f t="shared" si="13"/>
        <v>800</v>
      </c>
      <c r="H60" s="394">
        <f t="shared" si="9"/>
        <v>80</v>
      </c>
      <c r="I60" s="394">
        <f t="shared" si="10"/>
        <v>800</v>
      </c>
      <c r="J60" s="416">
        <f t="shared" si="11"/>
        <v>80</v>
      </c>
      <c r="K60" s="62">
        <f t="shared" si="12"/>
        <v>800</v>
      </c>
    </row>
    <row r="61" s="62" customFormat="1" ht="18" customHeight="1" spans="1:11">
      <c r="A61" s="123"/>
      <c r="B61" s="406" t="s">
        <v>495</v>
      </c>
      <c r="C61" s="406"/>
      <c r="D61" s="123"/>
      <c r="E61" s="123"/>
      <c r="F61" s="90"/>
      <c r="G61" s="394"/>
      <c r="H61" s="394"/>
      <c r="I61" s="394"/>
      <c r="J61" s="416">
        <f t="shared" si="11"/>
        <v>0</v>
      </c>
      <c r="K61" s="62">
        <f t="shared" si="12"/>
        <v>0</v>
      </c>
    </row>
    <row r="62" s="62" customFormat="1" ht="18" customHeight="1" spans="1:11">
      <c r="A62" s="123"/>
      <c r="B62" s="407" t="s">
        <v>496</v>
      </c>
      <c r="C62" s="11" t="s">
        <v>497</v>
      </c>
      <c r="D62" s="7" t="s">
        <v>453</v>
      </c>
      <c r="E62" s="123">
        <v>12</v>
      </c>
      <c r="F62" s="90"/>
      <c r="G62" s="394">
        <v>150</v>
      </c>
      <c r="H62" s="394"/>
      <c r="I62" s="394">
        <f>E62*G62</f>
        <v>1800</v>
      </c>
      <c r="J62" s="416">
        <f t="shared" si="11"/>
        <v>0</v>
      </c>
      <c r="K62" s="62">
        <f t="shared" si="12"/>
        <v>1800</v>
      </c>
    </row>
    <row r="63" s="62" customFormat="1" ht="18" customHeight="1" spans="1:11">
      <c r="A63" s="123"/>
      <c r="B63" s="408" t="s">
        <v>498</v>
      </c>
      <c r="C63" s="406"/>
      <c r="D63" s="123"/>
      <c r="E63" s="123"/>
      <c r="F63" s="5"/>
      <c r="G63" s="394"/>
      <c r="H63" s="394"/>
      <c r="I63" s="394">
        <f>SUM(I9:I62)*0.07749</f>
        <v>19776.2229</v>
      </c>
      <c r="J63" s="416">
        <f t="shared" si="11"/>
        <v>0</v>
      </c>
      <c r="K63" s="62">
        <f>I63</f>
        <v>19776.2229</v>
      </c>
    </row>
    <row r="64" s="62" customFormat="1" ht="18" customHeight="1" spans="1:11">
      <c r="A64" s="5" t="s">
        <v>46</v>
      </c>
      <c r="B64" s="391" t="s">
        <v>82</v>
      </c>
      <c r="C64" s="391"/>
      <c r="D64" s="392"/>
      <c r="E64" s="5"/>
      <c r="F64" s="5"/>
      <c r="G64" s="394"/>
      <c r="H64" s="395">
        <f>H65</f>
        <v>21309.87248</v>
      </c>
      <c r="I64" s="395">
        <f>I65</f>
        <v>232844.214984752</v>
      </c>
      <c r="J64" s="416">
        <f t="shared" si="11"/>
        <v>0</v>
      </c>
      <c r="K64" s="62">
        <f t="shared" ref="K64:K69" si="14">E64*G64</f>
        <v>0</v>
      </c>
    </row>
    <row r="65" s="62" customFormat="1" ht="18" customHeight="1" spans="1:11">
      <c r="A65" s="123">
        <v>1</v>
      </c>
      <c r="B65" s="399" t="s">
        <v>247</v>
      </c>
      <c r="C65" s="406"/>
      <c r="D65" s="123"/>
      <c r="E65" s="123"/>
      <c r="F65" s="123"/>
      <c r="G65" s="123"/>
      <c r="H65" s="409">
        <f>H66+H86+H106</f>
        <v>21309.87248</v>
      </c>
      <c r="I65" s="409">
        <f>I66+I86+I106</f>
        <v>232844.214984752</v>
      </c>
      <c r="J65" s="416">
        <f t="shared" si="11"/>
        <v>0</v>
      </c>
      <c r="K65" s="62">
        <f t="shared" si="14"/>
        <v>0</v>
      </c>
    </row>
    <row r="66" s="62" customFormat="1" ht="18" customHeight="1" spans="1:11">
      <c r="A66" s="123">
        <v>1.1</v>
      </c>
      <c r="B66" s="406" t="s">
        <v>499</v>
      </c>
      <c r="C66" s="406"/>
      <c r="D66" s="123"/>
      <c r="E66" s="123"/>
      <c r="F66" s="123"/>
      <c r="G66" s="123"/>
      <c r="H66" s="409">
        <f>SUM(H67:H85)</f>
        <v>7264.62416</v>
      </c>
      <c r="I66" s="409">
        <f>SUM(I67:I85)</f>
        <v>79353.088861584</v>
      </c>
      <c r="J66" s="416">
        <f t="shared" si="11"/>
        <v>0</v>
      </c>
      <c r="K66" s="62">
        <f t="shared" si="14"/>
        <v>0</v>
      </c>
    </row>
    <row r="67" s="62" customFormat="1" ht="18" customHeight="1" spans="1:11">
      <c r="A67" s="123"/>
      <c r="B67" s="11" t="s">
        <v>500</v>
      </c>
      <c r="C67" s="11" t="s">
        <v>501</v>
      </c>
      <c r="D67" s="7" t="s">
        <v>453</v>
      </c>
      <c r="E67" s="7">
        <v>1</v>
      </c>
      <c r="F67" s="123">
        <f t="shared" ref="F67:F73" si="15">G67*0.1</f>
        <v>1330</v>
      </c>
      <c r="G67" s="123">
        <v>13300</v>
      </c>
      <c r="H67" s="409">
        <f t="shared" ref="H67:H73" si="16">E67*F67</f>
        <v>1330</v>
      </c>
      <c r="I67" s="409">
        <f t="shared" ref="I67:I73" si="17">E67*G67</f>
        <v>13300</v>
      </c>
      <c r="J67" s="416">
        <f t="shared" si="11"/>
        <v>1330</v>
      </c>
      <c r="K67" s="62">
        <f t="shared" si="14"/>
        <v>13300</v>
      </c>
    </row>
    <row r="68" s="62" customFormat="1" ht="18" customHeight="1" spans="1:11">
      <c r="A68" s="123"/>
      <c r="B68" s="11" t="s">
        <v>502</v>
      </c>
      <c r="C68" s="11" t="s">
        <v>503</v>
      </c>
      <c r="D68" s="7" t="s">
        <v>504</v>
      </c>
      <c r="E68" s="7">
        <v>1</v>
      </c>
      <c r="F68" s="123">
        <f t="shared" si="15"/>
        <v>1500</v>
      </c>
      <c r="G68" s="123">
        <v>15000</v>
      </c>
      <c r="H68" s="409">
        <f t="shared" si="16"/>
        <v>1500</v>
      </c>
      <c r="I68" s="409">
        <f t="shared" si="17"/>
        <v>15000</v>
      </c>
      <c r="J68" s="416">
        <f t="shared" si="11"/>
        <v>1500</v>
      </c>
      <c r="K68" s="62">
        <f t="shared" si="14"/>
        <v>15000</v>
      </c>
    </row>
    <row r="69" s="62" customFormat="1" ht="18" customHeight="1" spans="1:11">
      <c r="A69" s="123"/>
      <c r="B69" s="11" t="s">
        <v>505</v>
      </c>
      <c r="C69" s="11" t="s">
        <v>506</v>
      </c>
      <c r="D69" s="7" t="s">
        <v>453</v>
      </c>
      <c r="E69" s="7">
        <v>1</v>
      </c>
      <c r="F69" s="123">
        <f t="shared" si="15"/>
        <v>865</v>
      </c>
      <c r="G69" s="123">
        <f>0.173*50000</f>
        <v>8650</v>
      </c>
      <c r="H69" s="409">
        <f t="shared" si="16"/>
        <v>865</v>
      </c>
      <c r="I69" s="409">
        <f t="shared" si="17"/>
        <v>8650</v>
      </c>
      <c r="J69" s="416">
        <f t="shared" si="11"/>
        <v>865</v>
      </c>
      <c r="K69" s="62">
        <f t="shared" si="14"/>
        <v>8650</v>
      </c>
    </row>
    <row r="70" s="62" customFormat="1" ht="18" customHeight="1" spans="1:11">
      <c r="A70" s="123"/>
      <c r="B70" s="11" t="s">
        <v>507</v>
      </c>
      <c r="C70" s="11" t="s">
        <v>508</v>
      </c>
      <c r="D70" s="7" t="s">
        <v>504</v>
      </c>
      <c r="E70" s="7">
        <v>1</v>
      </c>
      <c r="F70" s="123">
        <f t="shared" si="15"/>
        <v>1290</v>
      </c>
      <c r="G70" s="123">
        <f>30*430</f>
        <v>12900</v>
      </c>
      <c r="H70" s="409">
        <f t="shared" si="16"/>
        <v>1290</v>
      </c>
      <c r="I70" s="409">
        <f t="shared" si="17"/>
        <v>12900</v>
      </c>
      <c r="J70" s="416">
        <f t="shared" ref="J70:J83" si="18">E70*F70</f>
        <v>1290</v>
      </c>
      <c r="K70" s="62">
        <f t="shared" ref="K70:K84" si="19">E70*G70</f>
        <v>12900</v>
      </c>
    </row>
    <row r="71" s="62" customFormat="1" ht="18" customHeight="1" spans="1:11">
      <c r="A71" s="123"/>
      <c r="B71" s="11" t="s">
        <v>509</v>
      </c>
      <c r="C71" s="11" t="s">
        <v>510</v>
      </c>
      <c r="D71" s="7" t="s">
        <v>511</v>
      </c>
      <c r="E71" s="7">
        <v>40</v>
      </c>
      <c r="F71" s="298">
        <f t="shared" si="15"/>
        <v>11.233104</v>
      </c>
      <c r="G71" s="298">
        <f>64.41*1.09*1.6</f>
        <v>112.33104</v>
      </c>
      <c r="H71" s="409">
        <f t="shared" si="16"/>
        <v>449.32416</v>
      </c>
      <c r="I71" s="409">
        <f t="shared" si="17"/>
        <v>4493.2416</v>
      </c>
      <c r="J71" s="416">
        <f t="shared" si="18"/>
        <v>449.32416</v>
      </c>
      <c r="K71" s="62">
        <f t="shared" si="19"/>
        <v>4493.2416</v>
      </c>
    </row>
    <row r="72" s="62" customFormat="1" ht="18" customHeight="1" spans="1:11">
      <c r="A72" s="123"/>
      <c r="B72" s="11" t="s">
        <v>509</v>
      </c>
      <c r="C72" s="11" t="s">
        <v>512</v>
      </c>
      <c r="D72" s="7" t="s">
        <v>511</v>
      </c>
      <c r="E72" s="7">
        <v>30</v>
      </c>
      <c r="F72" s="298">
        <f t="shared" si="15"/>
        <v>5.359312</v>
      </c>
      <c r="G72" s="298">
        <f>30.73*1.09*1.6</f>
        <v>53.59312</v>
      </c>
      <c r="H72" s="409">
        <f t="shared" si="16"/>
        <v>160.77936</v>
      </c>
      <c r="I72" s="409">
        <f t="shared" si="17"/>
        <v>1607.7936</v>
      </c>
      <c r="J72" s="416">
        <f t="shared" si="18"/>
        <v>160.77936</v>
      </c>
      <c r="K72" s="62">
        <f t="shared" si="19"/>
        <v>1607.7936</v>
      </c>
    </row>
    <row r="73" s="62" customFormat="1" ht="18" customHeight="1" spans="1:11">
      <c r="A73" s="123"/>
      <c r="B73" s="11" t="s">
        <v>509</v>
      </c>
      <c r="C73" s="11" t="s">
        <v>513</v>
      </c>
      <c r="D73" s="7" t="s">
        <v>511</v>
      </c>
      <c r="E73" s="7">
        <v>60</v>
      </c>
      <c r="F73" s="298">
        <f t="shared" si="15"/>
        <v>2.225344</v>
      </c>
      <c r="G73" s="298">
        <f>12.76*1.09*1.6</f>
        <v>22.25344</v>
      </c>
      <c r="H73" s="409">
        <f t="shared" si="16"/>
        <v>133.52064</v>
      </c>
      <c r="I73" s="409">
        <f t="shared" si="17"/>
        <v>1335.2064</v>
      </c>
      <c r="J73" s="416">
        <f t="shared" si="18"/>
        <v>133.52064</v>
      </c>
      <c r="K73" s="62">
        <f t="shared" si="19"/>
        <v>1335.2064</v>
      </c>
    </row>
    <row r="74" s="62" customFormat="1" ht="18" customHeight="1" spans="1:11">
      <c r="A74" s="123"/>
      <c r="B74" s="11" t="s">
        <v>514</v>
      </c>
      <c r="C74" s="11" t="s">
        <v>515</v>
      </c>
      <c r="D74" s="7" t="s">
        <v>511</v>
      </c>
      <c r="E74" s="7">
        <v>150</v>
      </c>
      <c r="F74" s="298">
        <f t="shared" ref="F74:F83" si="20">G74*0.1</f>
        <v>0.26</v>
      </c>
      <c r="G74" s="298">
        <v>2.6</v>
      </c>
      <c r="H74" s="409">
        <f t="shared" ref="H74:H83" si="21">E74*F74</f>
        <v>39</v>
      </c>
      <c r="I74" s="409">
        <f t="shared" ref="I74:I83" si="22">E74*G74</f>
        <v>390</v>
      </c>
      <c r="J74" s="416">
        <f t="shared" si="18"/>
        <v>39</v>
      </c>
      <c r="K74" s="62">
        <f t="shared" si="19"/>
        <v>390</v>
      </c>
    </row>
    <row r="75" s="62" customFormat="1" ht="18" customHeight="1" spans="1:11">
      <c r="A75" s="123"/>
      <c r="B75" s="11" t="s">
        <v>514</v>
      </c>
      <c r="C75" s="11" t="s">
        <v>516</v>
      </c>
      <c r="D75" s="7" t="s">
        <v>511</v>
      </c>
      <c r="E75" s="7">
        <v>50</v>
      </c>
      <c r="F75" s="298">
        <f t="shared" si="20"/>
        <v>0.42</v>
      </c>
      <c r="G75" s="298">
        <v>4.2</v>
      </c>
      <c r="H75" s="409">
        <f t="shared" si="21"/>
        <v>21</v>
      </c>
      <c r="I75" s="409">
        <f t="shared" si="22"/>
        <v>210</v>
      </c>
      <c r="J75" s="416">
        <f t="shared" si="18"/>
        <v>21</v>
      </c>
      <c r="K75" s="62">
        <f t="shared" si="19"/>
        <v>210</v>
      </c>
    </row>
    <row r="76" s="62" customFormat="1" ht="18" customHeight="1" spans="1:11">
      <c r="A76" s="123"/>
      <c r="B76" s="11" t="s">
        <v>517</v>
      </c>
      <c r="C76" s="11"/>
      <c r="D76" s="7" t="s">
        <v>518</v>
      </c>
      <c r="E76" s="7">
        <v>15</v>
      </c>
      <c r="F76" s="298">
        <f t="shared" si="20"/>
        <v>5</v>
      </c>
      <c r="G76" s="298">
        <v>50</v>
      </c>
      <c r="H76" s="409">
        <f t="shared" si="21"/>
        <v>75</v>
      </c>
      <c r="I76" s="409">
        <f t="shared" si="22"/>
        <v>750</v>
      </c>
      <c r="J76" s="416">
        <f t="shared" si="18"/>
        <v>75</v>
      </c>
      <c r="K76" s="62">
        <f t="shared" si="19"/>
        <v>750</v>
      </c>
    </row>
    <row r="77" s="62" customFormat="1" ht="18" customHeight="1" spans="1:11">
      <c r="A77" s="123"/>
      <c r="B77" s="11" t="s">
        <v>519</v>
      </c>
      <c r="C77" s="11" t="s">
        <v>520</v>
      </c>
      <c r="D77" s="7" t="s">
        <v>511</v>
      </c>
      <c r="E77" s="7">
        <v>150</v>
      </c>
      <c r="F77" s="298">
        <f t="shared" si="20"/>
        <v>1.5</v>
      </c>
      <c r="G77" s="298">
        <v>15</v>
      </c>
      <c r="H77" s="409">
        <f t="shared" si="21"/>
        <v>225</v>
      </c>
      <c r="I77" s="409">
        <f t="shared" si="22"/>
        <v>2250</v>
      </c>
      <c r="J77" s="416">
        <f t="shared" si="18"/>
        <v>225</v>
      </c>
      <c r="K77" s="62">
        <f t="shared" si="19"/>
        <v>2250</v>
      </c>
    </row>
    <row r="78" s="62" customFormat="1" ht="18" customHeight="1" spans="1:11">
      <c r="A78" s="123"/>
      <c r="B78" s="11" t="s">
        <v>521</v>
      </c>
      <c r="C78" s="11" t="s">
        <v>522</v>
      </c>
      <c r="D78" s="7" t="s">
        <v>511</v>
      </c>
      <c r="E78" s="7">
        <v>300</v>
      </c>
      <c r="F78" s="298">
        <f t="shared" si="20"/>
        <v>2</v>
      </c>
      <c r="G78" s="298">
        <v>20</v>
      </c>
      <c r="H78" s="409">
        <f t="shared" si="21"/>
        <v>600</v>
      </c>
      <c r="I78" s="409">
        <f t="shared" si="22"/>
        <v>6000</v>
      </c>
      <c r="J78" s="416">
        <f t="shared" si="18"/>
        <v>600</v>
      </c>
      <c r="K78" s="62">
        <f t="shared" si="19"/>
        <v>6000</v>
      </c>
    </row>
    <row r="79" s="62" customFormat="1" ht="18" customHeight="1" spans="1:11">
      <c r="A79" s="123"/>
      <c r="B79" s="11" t="s">
        <v>523</v>
      </c>
      <c r="C79" s="11" t="s">
        <v>524</v>
      </c>
      <c r="D79" s="7" t="s">
        <v>525</v>
      </c>
      <c r="E79" s="7">
        <v>2</v>
      </c>
      <c r="F79" s="298">
        <f t="shared" si="20"/>
        <v>6.5</v>
      </c>
      <c r="G79" s="298">
        <v>65</v>
      </c>
      <c r="H79" s="409">
        <f t="shared" si="21"/>
        <v>13</v>
      </c>
      <c r="I79" s="409">
        <f t="shared" si="22"/>
        <v>130</v>
      </c>
      <c r="J79" s="416">
        <f t="shared" si="18"/>
        <v>13</v>
      </c>
      <c r="K79" s="62">
        <f t="shared" si="19"/>
        <v>130</v>
      </c>
    </row>
    <row r="80" s="62" customFormat="1" ht="18" customHeight="1" spans="1:11">
      <c r="A80" s="123"/>
      <c r="B80" s="11" t="s">
        <v>526</v>
      </c>
      <c r="C80" s="11" t="s">
        <v>527</v>
      </c>
      <c r="D80" s="7" t="s">
        <v>511</v>
      </c>
      <c r="E80" s="7">
        <v>20</v>
      </c>
      <c r="F80" s="298">
        <f t="shared" si="20"/>
        <v>8.5</v>
      </c>
      <c r="G80" s="298">
        <v>85</v>
      </c>
      <c r="H80" s="409">
        <f t="shared" si="21"/>
        <v>170</v>
      </c>
      <c r="I80" s="409">
        <f t="shared" si="22"/>
        <v>1700</v>
      </c>
      <c r="J80" s="416">
        <f t="shared" si="18"/>
        <v>170</v>
      </c>
      <c r="K80" s="62">
        <f t="shared" si="19"/>
        <v>1700</v>
      </c>
    </row>
    <row r="81" s="62" customFormat="1" ht="18" customHeight="1" spans="1:11">
      <c r="A81" s="123"/>
      <c r="B81" s="11" t="s">
        <v>526</v>
      </c>
      <c r="C81" s="11" t="s">
        <v>528</v>
      </c>
      <c r="D81" s="7" t="s">
        <v>511</v>
      </c>
      <c r="E81" s="7">
        <v>20</v>
      </c>
      <c r="F81" s="298">
        <f t="shared" si="20"/>
        <v>4.5</v>
      </c>
      <c r="G81" s="298">
        <v>45</v>
      </c>
      <c r="H81" s="409">
        <f t="shared" si="21"/>
        <v>90</v>
      </c>
      <c r="I81" s="409">
        <f t="shared" si="22"/>
        <v>900</v>
      </c>
      <c r="J81" s="416">
        <f t="shared" si="18"/>
        <v>90</v>
      </c>
      <c r="K81" s="62">
        <f t="shared" si="19"/>
        <v>900</v>
      </c>
    </row>
    <row r="82" s="62" customFormat="1" ht="18" customHeight="1" spans="1:11">
      <c r="A82" s="123"/>
      <c r="B82" s="11" t="s">
        <v>526</v>
      </c>
      <c r="C82" s="11" t="s">
        <v>529</v>
      </c>
      <c r="D82" s="7" t="s">
        <v>511</v>
      </c>
      <c r="E82" s="7">
        <v>80</v>
      </c>
      <c r="F82" s="298">
        <f t="shared" si="20"/>
        <v>3</v>
      </c>
      <c r="G82" s="298">
        <v>30</v>
      </c>
      <c r="H82" s="409">
        <f t="shared" si="21"/>
        <v>240</v>
      </c>
      <c r="I82" s="409">
        <f t="shared" si="22"/>
        <v>2400</v>
      </c>
      <c r="J82" s="416">
        <f t="shared" si="18"/>
        <v>240</v>
      </c>
      <c r="K82" s="62">
        <f t="shared" si="19"/>
        <v>2400</v>
      </c>
    </row>
    <row r="83" s="62" customFormat="1" ht="18" customHeight="1" spans="1:11">
      <c r="A83" s="123"/>
      <c r="B83" s="11" t="s">
        <v>530</v>
      </c>
      <c r="C83" s="11" t="s">
        <v>531</v>
      </c>
      <c r="D83" s="7" t="s">
        <v>511</v>
      </c>
      <c r="E83" s="7">
        <v>300</v>
      </c>
      <c r="F83" s="298">
        <f t="shared" si="20"/>
        <v>0.21</v>
      </c>
      <c r="G83" s="298">
        <v>2.1</v>
      </c>
      <c r="H83" s="409">
        <f t="shared" si="21"/>
        <v>63</v>
      </c>
      <c r="I83" s="409">
        <f t="shared" si="22"/>
        <v>630</v>
      </c>
      <c r="J83" s="416">
        <f t="shared" si="18"/>
        <v>63</v>
      </c>
      <c r="K83" s="62">
        <f t="shared" si="19"/>
        <v>630</v>
      </c>
    </row>
    <row r="84" s="62" customFormat="1" ht="18" customHeight="1" spans="1:11">
      <c r="A84" s="123"/>
      <c r="B84" s="11" t="s">
        <v>532</v>
      </c>
      <c r="C84" s="11" t="s">
        <v>533</v>
      </c>
      <c r="D84" s="7" t="s">
        <v>305</v>
      </c>
      <c r="E84" s="7">
        <v>1</v>
      </c>
      <c r="F84" s="298"/>
      <c r="G84" s="298">
        <v>1000</v>
      </c>
      <c r="H84" s="409"/>
      <c r="I84" s="409">
        <f t="shared" ref="I84:I89" si="23">E84*G84</f>
        <v>1000</v>
      </c>
      <c r="J84" s="416"/>
      <c r="K84" s="62">
        <f t="shared" si="19"/>
        <v>1000</v>
      </c>
    </row>
    <row r="85" s="62" customFormat="1" ht="18" customHeight="1" spans="1:11">
      <c r="A85" s="123"/>
      <c r="B85" s="11" t="s">
        <v>534</v>
      </c>
      <c r="C85" s="11"/>
      <c r="D85" s="16"/>
      <c r="E85" s="16"/>
      <c r="F85" s="123"/>
      <c r="G85" s="123"/>
      <c r="H85" s="409"/>
      <c r="I85" s="409">
        <f>SUM(I67:I84)*0.07749</f>
        <v>5706.847261584</v>
      </c>
      <c r="J85" s="416">
        <f t="shared" ref="J85:J90" si="24">E85*F85</f>
        <v>0</v>
      </c>
      <c r="K85" s="62">
        <f>I85</f>
        <v>5706.847261584</v>
      </c>
    </row>
    <row r="86" s="62" customFormat="1" ht="18" customHeight="1" spans="1:11">
      <c r="A86" s="123">
        <v>1.2</v>
      </c>
      <c r="B86" s="406" t="s">
        <v>535</v>
      </c>
      <c r="C86" s="11"/>
      <c r="D86" s="7"/>
      <c r="E86" s="7"/>
      <c r="F86" s="123"/>
      <c r="G86" s="123"/>
      <c r="H86" s="409">
        <f>SUM(H87:H105)</f>
        <v>7264.62416</v>
      </c>
      <c r="I86" s="409">
        <f>SUM(I87:I105)</f>
        <v>79353.088861584</v>
      </c>
      <c r="J86" s="416">
        <f t="shared" si="24"/>
        <v>0</v>
      </c>
      <c r="K86" s="62">
        <f>E86*G86</f>
        <v>0</v>
      </c>
    </row>
    <row r="87" s="62" customFormat="1" ht="18" customHeight="1" spans="1:11">
      <c r="A87" s="123"/>
      <c r="B87" s="11" t="s">
        <v>500</v>
      </c>
      <c r="C87" s="11" t="s">
        <v>501</v>
      </c>
      <c r="D87" s="7" t="s">
        <v>453</v>
      </c>
      <c r="E87" s="7">
        <v>1</v>
      </c>
      <c r="F87" s="123">
        <f t="shared" ref="F87:F89" si="25">G87*0.1</f>
        <v>1330</v>
      </c>
      <c r="G87" s="123">
        <v>13300</v>
      </c>
      <c r="H87" s="409">
        <f t="shared" ref="H87:H89" si="26">E87*F87</f>
        <v>1330</v>
      </c>
      <c r="I87" s="409">
        <f t="shared" si="23"/>
        <v>13300</v>
      </c>
      <c r="J87" s="416">
        <f t="shared" si="24"/>
        <v>1330</v>
      </c>
      <c r="K87" s="62">
        <f>E87*G87</f>
        <v>13300</v>
      </c>
    </row>
    <row r="88" s="62" customFormat="1" ht="18" customHeight="1" spans="1:11">
      <c r="A88" s="123"/>
      <c r="B88" s="11" t="s">
        <v>502</v>
      </c>
      <c r="C88" s="11" t="s">
        <v>503</v>
      </c>
      <c r="D88" s="7" t="s">
        <v>504</v>
      </c>
      <c r="E88" s="7">
        <v>1</v>
      </c>
      <c r="F88" s="123">
        <f t="shared" si="25"/>
        <v>1500</v>
      </c>
      <c r="G88" s="123">
        <f>G68</f>
        <v>15000</v>
      </c>
      <c r="H88" s="409">
        <f t="shared" si="26"/>
        <v>1500</v>
      </c>
      <c r="I88" s="409">
        <f t="shared" si="23"/>
        <v>15000</v>
      </c>
      <c r="J88" s="416">
        <f t="shared" si="24"/>
        <v>1500</v>
      </c>
      <c r="K88" s="62">
        <f>E88*G88</f>
        <v>15000</v>
      </c>
    </row>
    <row r="89" s="62" customFormat="1" ht="18" customHeight="1" spans="1:11">
      <c r="A89" s="123"/>
      <c r="B89" s="11" t="s">
        <v>505</v>
      </c>
      <c r="C89" s="11" t="s">
        <v>506</v>
      </c>
      <c r="D89" s="7" t="s">
        <v>453</v>
      </c>
      <c r="E89" s="7">
        <v>1</v>
      </c>
      <c r="F89" s="123">
        <f t="shared" si="25"/>
        <v>865</v>
      </c>
      <c r="G89" s="123">
        <f>0.173*50000</f>
        <v>8650</v>
      </c>
      <c r="H89" s="409">
        <f t="shared" si="26"/>
        <v>865</v>
      </c>
      <c r="I89" s="409">
        <f t="shared" si="23"/>
        <v>8650</v>
      </c>
      <c r="J89" s="416">
        <f t="shared" si="24"/>
        <v>865</v>
      </c>
      <c r="K89" s="62">
        <f>E89*G89</f>
        <v>8650</v>
      </c>
    </row>
    <row r="90" s="62" customFormat="1" ht="18" customHeight="1" spans="1:11">
      <c r="A90" s="123"/>
      <c r="B90" s="11" t="s">
        <v>507</v>
      </c>
      <c r="C90" s="11" t="s">
        <v>508</v>
      </c>
      <c r="D90" s="7" t="s">
        <v>504</v>
      </c>
      <c r="E90" s="7">
        <v>1</v>
      </c>
      <c r="F90" s="123">
        <f t="shared" ref="F90:F103" si="27">G90*0.1</f>
        <v>1290</v>
      </c>
      <c r="G90" s="123">
        <f>30*430</f>
        <v>12900</v>
      </c>
      <c r="H90" s="409">
        <f t="shared" ref="H90:H103" si="28">E90*F90</f>
        <v>1290</v>
      </c>
      <c r="I90" s="409">
        <f t="shared" ref="I90:I104" si="29">E90*G90</f>
        <v>12900</v>
      </c>
      <c r="J90" s="416">
        <f t="shared" si="24"/>
        <v>1290</v>
      </c>
      <c r="K90" s="62">
        <f t="shared" ref="K90:K104" si="30">E90*G90</f>
        <v>12900</v>
      </c>
    </row>
    <row r="91" s="62" customFormat="1" ht="18" customHeight="1" spans="1:11">
      <c r="A91" s="123"/>
      <c r="B91" s="11" t="s">
        <v>509</v>
      </c>
      <c r="C91" s="11" t="s">
        <v>510</v>
      </c>
      <c r="D91" s="7" t="s">
        <v>511</v>
      </c>
      <c r="E91" s="7">
        <v>40</v>
      </c>
      <c r="F91" s="298">
        <f t="shared" si="27"/>
        <v>11.233104</v>
      </c>
      <c r="G91" s="298">
        <f>G71</f>
        <v>112.33104</v>
      </c>
      <c r="H91" s="409">
        <f t="shared" si="28"/>
        <v>449.32416</v>
      </c>
      <c r="I91" s="409">
        <f t="shared" si="29"/>
        <v>4493.2416</v>
      </c>
      <c r="J91" s="416">
        <f t="shared" ref="J91:J103" si="31">E91*F91</f>
        <v>449.32416</v>
      </c>
      <c r="K91" s="62">
        <f t="shared" si="30"/>
        <v>4493.2416</v>
      </c>
    </row>
    <row r="92" s="62" customFormat="1" ht="18" customHeight="1" spans="1:11">
      <c r="A92" s="123"/>
      <c r="B92" s="11" t="s">
        <v>509</v>
      </c>
      <c r="C92" s="11" t="s">
        <v>512</v>
      </c>
      <c r="D92" s="7" t="s">
        <v>511</v>
      </c>
      <c r="E92" s="7">
        <v>30</v>
      </c>
      <c r="F92" s="298">
        <f t="shared" si="27"/>
        <v>5.359312</v>
      </c>
      <c r="G92" s="298">
        <f>G72</f>
        <v>53.59312</v>
      </c>
      <c r="H92" s="409">
        <f t="shared" si="28"/>
        <v>160.77936</v>
      </c>
      <c r="I92" s="409">
        <f t="shared" si="29"/>
        <v>1607.7936</v>
      </c>
      <c r="J92" s="416">
        <f t="shared" si="31"/>
        <v>160.77936</v>
      </c>
      <c r="K92" s="62">
        <f t="shared" si="30"/>
        <v>1607.7936</v>
      </c>
    </row>
    <row r="93" s="62" customFormat="1" ht="18" customHeight="1" spans="1:11">
      <c r="A93" s="123"/>
      <c r="B93" s="11" t="s">
        <v>509</v>
      </c>
      <c r="C93" s="11" t="s">
        <v>513</v>
      </c>
      <c r="D93" s="7" t="s">
        <v>511</v>
      </c>
      <c r="E93" s="7">
        <v>60</v>
      </c>
      <c r="F93" s="298">
        <f t="shared" si="27"/>
        <v>2.225344</v>
      </c>
      <c r="G93" s="298">
        <f>G73</f>
        <v>22.25344</v>
      </c>
      <c r="H93" s="409">
        <f t="shared" si="28"/>
        <v>133.52064</v>
      </c>
      <c r="I93" s="409">
        <f t="shared" si="29"/>
        <v>1335.2064</v>
      </c>
      <c r="J93" s="416">
        <f t="shared" si="31"/>
        <v>133.52064</v>
      </c>
      <c r="K93" s="62">
        <f t="shared" si="30"/>
        <v>1335.2064</v>
      </c>
    </row>
    <row r="94" s="62" customFormat="1" ht="18" customHeight="1" spans="1:11">
      <c r="A94" s="123"/>
      <c r="B94" s="11" t="s">
        <v>514</v>
      </c>
      <c r="C94" s="11" t="s">
        <v>515</v>
      </c>
      <c r="D94" s="7" t="s">
        <v>511</v>
      </c>
      <c r="E94" s="7">
        <v>150</v>
      </c>
      <c r="F94" s="298">
        <f t="shared" si="27"/>
        <v>0.26</v>
      </c>
      <c r="G94" s="298">
        <f t="shared" ref="G94:G100" si="32">G74</f>
        <v>2.6</v>
      </c>
      <c r="H94" s="409">
        <f t="shared" si="28"/>
        <v>39</v>
      </c>
      <c r="I94" s="409">
        <f t="shared" si="29"/>
        <v>390</v>
      </c>
      <c r="J94" s="416">
        <f t="shared" si="31"/>
        <v>39</v>
      </c>
      <c r="K94" s="62">
        <f t="shared" si="30"/>
        <v>390</v>
      </c>
    </row>
    <row r="95" s="62" customFormat="1" ht="18" customHeight="1" spans="1:11">
      <c r="A95" s="123"/>
      <c r="B95" s="11" t="s">
        <v>514</v>
      </c>
      <c r="C95" s="11" t="s">
        <v>516</v>
      </c>
      <c r="D95" s="7" t="s">
        <v>511</v>
      </c>
      <c r="E95" s="7">
        <v>50</v>
      </c>
      <c r="F95" s="298">
        <f t="shared" si="27"/>
        <v>0.42</v>
      </c>
      <c r="G95" s="298">
        <f t="shared" si="32"/>
        <v>4.2</v>
      </c>
      <c r="H95" s="409">
        <f t="shared" si="28"/>
        <v>21</v>
      </c>
      <c r="I95" s="409">
        <f t="shared" si="29"/>
        <v>210</v>
      </c>
      <c r="J95" s="416">
        <f t="shared" si="31"/>
        <v>21</v>
      </c>
      <c r="K95" s="62">
        <f t="shared" si="30"/>
        <v>210</v>
      </c>
    </row>
    <row r="96" s="62" customFormat="1" ht="18" customHeight="1" spans="1:11">
      <c r="A96" s="123"/>
      <c r="B96" s="11" t="s">
        <v>517</v>
      </c>
      <c r="C96" s="11"/>
      <c r="D96" s="7" t="s">
        <v>518</v>
      </c>
      <c r="E96" s="7">
        <v>15</v>
      </c>
      <c r="F96" s="298">
        <f t="shared" si="27"/>
        <v>5</v>
      </c>
      <c r="G96" s="298">
        <f t="shared" si="32"/>
        <v>50</v>
      </c>
      <c r="H96" s="409">
        <f t="shared" si="28"/>
        <v>75</v>
      </c>
      <c r="I96" s="409">
        <f t="shared" si="29"/>
        <v>750</v>
      </c>
      <c r="J96" s="416">
        <f t="shared" si="31"/>
        <v>75</v>
      </c>
      <c r="K96" s="62">
        <f t="shared" si="30"/>
        <v>750</v>
      </c>
    </row>
    <row r="97" s="62" customFormat="1" ht="18" customHeight="1" spans="1:11">
      <c r="A97" s="123"/>
      <c r="B97" s="11" t="s">
        <v>519</v>
      </c>
      <c r="C97" s="11" t="s">
        <v>520</v>
      </c>
      <c r="D97" s="7" t="s">
        <v>511</v>
      </c>
      <c r="E97" s="7">
        <v>150</v>
      </c>
      <c r="F97" s="298">
        <f t="shared" si="27"/>
        <v>1.5</v>
      </c>
      <c r="G97" s="298">
        <f t="shared" si="32"/>
        <v>15</v>
      </c>
      <c r="H97" s="409">
        <f t="shared" si="28"/>
        <v>225</v>
      </c>
      <c r="I97" s="409">
        <f t="shared" si="29"/>
        <v>2250</v>
      </c>
      <c r="J97" s="416">
        <f t="shared" si="31"/>
        <v>225</v>
      </c>
      <c r="K97" s="62">
        <f t="shared" si="30"/>
        <v>2250</v>
      </c>
    </row>
    <row r="98" s="62" customFormat="1" ht="18" customHeight="1" spans="1:11">
      <c r="A98" s="123"/>
      <c r="B98" s="11" t="s">
        <v>521</v>
      </c>
      <c r="C98" s="11" t="s">
        <v>522</v>
      </c>
      <c r="D98" s="7" t="s">
        <v>511</v>
      </c>
      <c r="E98" s="7">
        <v>300</v>
      </c>
      <c r="F98" s="298">
        <f t="shared" si="27"/>
        <v>2</v>
      </c>
      <c r="G98" s="298">
        <f t="shared" si="32"/>
        <v>20</v>
      </c>
      <c r="H98" s="409">
        <f t="shared" si="28"/>
        <v>600</v>
      </c>
      <c r="I98" s="409">
        <f t="shared" si="29"/>
        <v>6000</v>
      </c>
      <c r="J98" s="416">
        <f t="shared" si="31"/>
        <v>600</v>
      </c>
      <c r="K98" s="62">
        <f t="shared" si="30"/>
        <v>6000</v>
      </c>
    </row>
    <row r="99" s="62" customFormat="1" ht="18" customHeight="1" spans="1:11">
      <c r="A99" s="123"/>
      <c r="B99" s="11" t="s">
        <v>523</v>
      </c>
      <c r="C99" s="11" t="s">
        <v>524</v>
      </c>
      <c r="D99" s="7" t="s">
        <v>525</v>
      </c>
      <c r="E99" s="7">
        <v>2</v>
      </c>
      <c r="F99" s="298">
        <f t="shared" si="27"/>
        <v>6.5</v>
      </c>
      <c r="G99" s="298">
        <f t="shared" si="32"/>
        <v>65</v>
      </c>
      <c r="H99" s="409">
        <f t="shared" si="28"/>
        <v>13</v>
      </c>
      <c r="I99" s="409">
        <f t="shared" si="29"/>
        <v>130</v>
      </c>
      <c r="J99" s="416">
        <f t="shared" si="31"/>
        <v>13</v>
      </c>
      <c r="K99" s="62">
        <f t="shared" si="30"/>
        <v>130</v>
      </c>
    </row>
    <row r="100" s="62" customFormat="1" ht="18" customHeight="1" spans="1:11">
      <c r="A100" s="123"/>
      <c r="B100" s="11" t="s">
        <v>526</v>
      </c>
      <c r="C100" s="11" t="s">
        <v>527</v>
      </c>
      <c r="D100" s="7" t="s">
        <v>511</v>
      </c>
      <c r="E100" s="7">
        <v>20</v>
      </c>
      <c r="F100" s="298">
        <f t="shared" si="27"/>
        <v>8.5</v>
      </c>
      <c r="G100" s="298">
        <f t="shared" si="32"/>
        <v>85</v>
      </c>
      <c r="H100" s="409">
        <f t="shared" si="28"/>
        <v>170</v>
      </c>
      <c r="I100" s="409">
        <f t="shared" si="29"/>
        <v>1700</v>
      </c>
      <c r="J100" s="416">
        <f t="shared" si="31"/>
        <v>170</v>
      </c>
      <c r="K100" s="62">
        <f t="shared" si="30"/>
        <v>1700</v>
      </c>
    </row>
    <row r="101" s="62" customFormat="1" ht="18" customHeight="1" spans="1:11">
      <c r="A101" s="123"/>
      <c r="B101" s="11" t="s">
        <v>526</v>
      </c>
      <c r="C101" s="11" t="s">
        <v>528</v>
      </c>
      <c r="D101" s="7" t="s">
        <v>511</v>
      </c>
      <c r="E101" s="7">
        <v>20</v>
      </c>
      <c r="F101" s="298">
        <f t="shared" si="27"/>
        <v>4.5</v>
      </c>
      <c r="G101" s="298">
        <v>45</v>
      </c>
      <c r="H101" s="409">
        <f t="shared" si="28"/>
        <v>90</v>
      </c>
      <c r="I101" s="409">
        <f t="shared" si="29"/>
        <v>900</v>
      </c>
      <c r="J101" s="416">
        <f t="shared" si="31"/>
        <v>90</v>
      </c>
      <c r="K101" s="62">
        <f t="shared" si="30"/>
        <v>900</v>
      </c>
    </row>
    <row r="102" s="62" customFormat="1" ht="18" customHeight="1" spans="1:11">
      <c r="A102" s="123"/>
      <c r="B102" s="11" t="s">
        <v>526</v>
      </c>
      <c r="C102" s="11" t="s">
        <v>529</v>
      </c>
      <c r="D102" s="7" t="s">
        <v>511</v>
      </c>
      <c r="E102" s="7">
        <v>80</v>
      </c>
      <c r="F102" s="298">
        <f t="shared" si="27"/>
        <v>3</v>
      </c>
      <c r="G102" s="298">
        <f>G82</f>
        <v>30</v>
      </c>
      <c r="H102" s="409">
        <f t="shared" si="28"/>
        <v>240</v>
      </c>
      <c r="I102" s="409">
        <f t="shared" si="29"/>
        <v>2400</v>
      </c>
      <c r="J102" s="416">
        <f t="shared" si="31"/>
        <v>240</v>
      </c>
      <c r="K102" s="62">
        <f t="shared" si="30"/>
        <v>2400</v>
      </c>
    </row>
    <row r="103" s="62" customFormat="1" ht="18" customHeight="1" spans="1:11">
      <c r="A103" s="123"/>
      <c r="B103" s="11" t="s">
        <v>530</v>
      </c>
      <c r="C103" s="11" t="s">
        <v>531</v>
      </c>
      <c r="D103" s="7" t="s">
        <v>511</v>
      </c>
      <c r="E103" s="7">
        <v>300</v>
      </c>
      <c r="F103" s="298">
        <f t="shared" si="27"/>
        <v>0.21</v>
      </c>
      <c r="G103" s="298">
        <f>G83</f>
        <v>2.1</v>
      </c>
      <c r="H103" s="409">
        <f t="shared" si="28"/>
        <v>63</v>
      </c>
      <c r="I103" s="409">
        <f t="shared" si="29"/>
        <v>630</v>
      </c>
      <c r="J103" s="416">
        <f t="shared" si="31"/>
        <v>63</v>
      </c>
      <c r="K103" s="62">
        <f t="shared" si="30"/>
        <v>630</v>
      </c>
    </row>
    <row r="104" s="62" customFormat="1" ht="18" customHeight="1" spans="1:11">
      <c r="A104" s="123"/>
      <c r="B104" s="11" t="s">
        <v>532</v>
      </c>
      <c r="C104" s="11" t="s">
        <v>533</v>
      </c>
      <c r="D104" s="7" t="s">
        <v>305</v>
      </c>
      <c r="E104" s="7">
        <v>1</v>
      </c>
      <c r="F104" s="298"/>
      <c r="G104" s="298">
        <v>1000</v>
      </c>
      <c r="H104" s="409"/>
      <c r="I104" s="409">
        <f t="shared" si="29"/>
        <v>1000</v>
      </c>
      <c r="J104" s="416"/>
      <c r="K104" s="62">
        <f t="shared" si="30"/>
        <v>1000</v>
      </c>
    </row>
    <row r="105" s="62" customFormat="1" ht="18" customHeight="1" spans="1:11">
      <c r="A105" s="123"/>
      <c r="B105" s="11" t="s">
        <v>534</v>
      </c>
      <c r="C105" s="11"/>
      <c r="D105" s="7"/>
      <c r="E105" s="7"/>
      <c r="F105" s="123"/>
      <c r="G105" s="123"/>
      <c r="H105" s="409"/>
      <c r="I105" s="409">
        <f>SUM(I87:I104)*0.07749</f>
        <v>5706.847261584</v>
      </c>
      <c r="J105" s="416">
        <f t="shared" ref="J105:J115" si="33">E105*F105</f>
        <v>0</v>
      </c>
      <c r="K105" s="62">
        <f>I105</f>
        <v>5706.847261584</v>
      </c>
    </row>
    <row r="106" s="62" customFormat="1" ht="18" customHeight="1" spans="1:11">
      <c r="A106" s="123">
        <v>1.3</v>
      </c>
      <c r="B106" s="406" t="s">
        <v>536</v>
      </c>
      <c r="C106" s="11"/>
      <c r="D106" s="7"/>
      <c r="E106" s="7"/>
      <c r="F106" s="123"/>
      <c r="G106" s="123"/>
      <c r="H106" s="409">
        <f>SUM(H107:H125)</f>
        <v>6780.62416</v>
      </c>
      <c r="I106" s="409">
        <f>SUM(I107:I125)</f>
        <v>74138.037261584</v>
      </c>
      <c r="J106" s="416">
        <f t="shared" si="33"/>
        <v>0</v>
      </c>
      <c r="K106" s="62">
        <f>E106*G106</f>
        <v>0</v>
      </c>
    </row>
    <row r="107" s="62" customFormat="1" ht="18" customHeight="1" spans="1:11">
      <c r="A107" s="123"/>
      <c r="B107" s="11" t="s">
        <v>500</v>
      </c>
      <c r="C107" s="11" t="s">
        <v>501</v>
      </c>
      <c r="D107" s="7" t="s">
        <v>453</v>
      </c>
      <c r="E107" s="7">
        <v>1</v>
      </c>
      <c r="F107" s="123">
        <f>G107*0.1</f>
        <v>1330</v>
      </c>
      <c r="G107" s="123">
        <f>G87</f>
        <v>13300</v>
      </c>
      <c r="H107" s="409">
        <f>E107*F107</f>
        <v>1330</v>
      </c>
      <c r="I107" s="409">
        <f>E107*G107</f>
        <v>13300</v>
      </c>
      <c r="J107" s="416">
        <f t="shared" si="33"/>
        <v>1330</v>
      </c>
      <c r="K107" s="62">
        <f>E107*G107</f>
        <v>13300</v>
      </c>
    </row>
    <row r="108" s="62" customFormat="1" ht="18" customHeight="1" spans="1:11">
      <c r="A108" s="123"/>
      <c r="B108" s="11" t="s">
        <v>502</v>
      </c>
      <c r="C108" s="11" t="s">
        <v>503</v>
      </c>
      <c r="D108" s="7" t="s">
        <v>504</v>
      </c>
      <c r="E108" s="7">
        <v>1</v>
      </c>
      <c r="F108" s="123">
        <f>G108*0.1</f>
        <v>1500</v>
      </c>
      <c r="G108" s="123">
        <f>G88</f>
        <v>15000</v>
      </c>
      <c r="H108" s="409">
        <f>E108*F108</f>
        <v>1500</v>
      </c>
      <c r="I108" s="409">
        <f>E108*G108</f>
        <v>15000</v>
      </c>
      <c r="J108" s="416">
        <f t="shared" si="33"/>
        <v>1500</v>
      </c>
      <c r="K108" s="62">
        <f>E108*G108</f>
        <v>15000</v>
      </c>
    </row>
    <row r="109" s="62" customFormat="1" ht="18" customHeight="1" spans="1:11">
      <c r="A109" s="123"/>
      <c r="B109" s="11" t="s">
        <v>505</v>
      </c>
      <c r="C109" s="11" t="s">
        <v>537</v>
      </c>
      <c r="D109" s="7" t="s">
        <v>453</v>
      </c>
      <c r="E109" s="7">
        <v>1</v>
      </c>
      <c r="F109" s="123">
        <f>G109*0.1</f>
        <v>725</v>
      </c>
      <c r="G109" s="123">
        <f>0.145*50000</f>
        <v>7250</v>
      </c>
      <c r="H109" s="409">
        <f>E109*F109</f>
        <v>725</v>
      </c>
      <c r="I109" s="409">
        <f>E109*G109</f>
        <v>7250</v>
      </c>
      <c r="J109" s="416">
        <f t="shared" si="33"/>
        <v>725</v>
      </c>
      <c r="K109" s="62">
        <f>E109*G109</f>
        <v>7250</v>
      </c>
    </row>
    <row r="110" s="62" customFormat="1" ht="18" customHeight="1" spans="1:11">
      <c r="A110" s="123"/>
      <c r="B110" s="11" t="s">
        <v>507</v>
      </c>
      <c r="C110" s="11" t="s">
        <v>538</v>
      </c>
      <c r="D110" s="7" t="s">
        <v>504</v>
      </c>
      <c r="E110" s="7">
        <v>1</v>
      </c>
      <c r="F110" s="123">
        <f t="shared" ref="F110:F123" si="34">G110*0.1</f>
        <v>946</v>
      </c>
      <c r="G110" s="123">
        <f>22*430</f>
        <v>9460</v>
      </c>
      <c r="H110" s="409">
        <f t="shared" ref="H110:H123" si="35">E110*F110</f>
        <v>946</v>
      </c>
      <c r="I110" s="409">
        <f t="shared" ref="I110:I124" si="36">E110*G110</f>
        <v>9460</v>
      </c>
      <c r="J110" s="416">
        <f t="shared" si="33"/>
        <v>946</v>
      </c>
      <c r="K110" s="62">
        <f t="shared" ref="K110:K124" si="37">E110*G110</f>
        <v>9460</v>
      </c>
    </row>
    <row r="111" s="62" customFormat="1" ht="18" customHeight="1" spans="1:11">
      <c r="A111" s="123"/>
      <c r="B111" s="11" t="s">
        <v>509</v>
      </c>
      <c r="C111" s="11" t="s">
        <v>510</v>
      </c>
      <c r="D111" s="7" t="s">
        <v>511</v>
      </c>
      <c r="E111" s="7">
        <v>40</v>
      </c>
      <c r="F111" s="298">
        <f t="shared" si="34"/>
        <v>11.233104</v>
      </c>
      <c r="G111" s="298">
        <f>G91</f>
        <v>112.33104</v>
      </c>
      <c r="H111" s="409">
        <f t="shared" si="35"/>
        <v>449.32416</v>
      </c>
      <c r="I111" s="409">
        <f t="shared" si="36"/>
        <v>4493.2416</v>
      </c>
      <c r="J111" s="416">
        <f t="shared" si="33"/>
        <v>449.32416</v>
      </c>
      <c r="K111" s="62">
        <f t="shared" si="37"/>
        <v>4493.2416</v>
      </c>
    </row>
    <row r="112" s="62" customFormat="1" ht="18" customHeight="1" spans="1:11">
      <c r="A112" s="123"/>
      <c r="B112" s="11" t="s">
        <v>509</v>
      </c>
      <c r="C112" s="11" t="s">
        <v>512</v>
      </c>
      <c r="D112" s="7" t="s">
        <v>511</v>
      </c>
      <c r="E112" s="7">
        <v>30</v>
      </c>
      <c r="F112" s="298">
        <f t="shared" si="34"/>
        <v>5.359312</v>
      </c>
      <c r="G112" s="298">
        <f>G92</f>
        <v>53.59312</v>
      </c>
      <c r="H112" s="409">
        <f t="shared" si="35"/>
        <v>160.77936</v>
      </c>
      <c r="I112" s="409">
        <f t="shared" si="36"/>
        <v>1607.7936</v>
      </c>
      <c r="J112" s="416">
        <f t="shared" si="33"/>
        <v>160.77936</v>
      </c>
      <c r="K112" s="62">
        <f t="shared" si="37"/>
        <v>1607.7936</v>
      </c>
    </row>
    <row r="113" s="62" customFormat="1" ht="18" customHeight="1" spans="1:11">
      <c r="A113" s="123"/>
      <c r="B113" s="11" t="s">
        <v>509</v>
      </c>
      <c r="C113" s="11" t="s">
        <v>513</v>
      </c>
      <c r="D113" s="7" t="s">
        <v>511</v>
      </c>
      <c r="E113" s="7">
        <v>60</v>
      </c>
      <c r="F113" s="298">
        <f t="shared" si="34"/>
        <v>2.225344</v>
      </c>
      <c r="G113" s="298">
        <f>G93</f>
        <v>22.25344</v>
      </c>
      <c r="H113" s="409">
        <f t="shared" si="35"/>
        <v>133.52064</v>
      </c>
      <c r="I113" s="409">
        <f t="shared" si="36"/>
        <v>1335.2064</v>
      </c>
      <c r="J113" s="416">
        <f t="shared" si="33"/>
        <v>133.52064</v>
      </c>
      <c r="K113" s="62">
        <f t="shared" si="37"/>
        <v>1335.2064</v>
      </c>
    </row>
    <row r="114" s="62" customFormat="1" ht="18" customHeight="1" spans="1:11">
      <c r="A114" s="123"/>
      <c r="B114" s="11" t="s">
        <v>514</v>
      </c>
      <c r="C114" s="11" t="s">
        <v>515</v>
      </c>
      <c r="D114" s="7" t="s">
        <v>511</v>
      </c>
      <c r="E114" s="7">
        <v>150</v>
      </c>
      <c r="F114" s="298">
        <f t="shared" si="34"/>
        <v>0.26</v>
      </c>
      <c r="G114" s="298">
        <f t="shared" ref="G114:G120" si="38">G94</f>
        <v>2.6</v>
      </c>
      <c r="H114" s="409">
        <f t="shared" si="35"/>
        <v>39</v>
      </c>
      <c r="I114" s="409">
        <f t="shared" si="36"/>
        <v>390</v>
      </c>
      <c r="J114" s="416">
        <f t="shared" si="33"/>
        <v>39</v>
      </c>
      <c r="K114" s="62">
        <f t="shared" si="37"/>
        <v>390</v>
      </c>
    </row>
    <row r="115" s="62" customFormat="1" ht="18" customHeight="1" spans="1:11">
      <c r="A115" s="123"/>
      <c r="B115" s="11" t="s">
        <v>514</v>
      </c>
      <c r="C115" s="11" t="s">
        <v>516</v>
      </c>
      <c r="D115" s="7" t="s">
        <v>511</v>
      </c>
      <c r="E115" s="7">
        <v>50</v>
      </c>
      <c r="F115" s="298">
        <f t="shared" si="34"/>
        <v>0.42</v>
      </c>
      <c r="G115" s="298">
        <f t="shared" si="38"/>
        <v>4.2</v>
      </c>
      <c r="H115" s="409">
        <f t="shared" si="35"/>
        <v>21</v>
      </c>
      <c r="I115" s="409">
        <f t="shared" si="36"/>
        <v>210</v>
      </c>
      <c r="J115" s="416">
        <f t="shared" si="33"/>
        <v>21</v>
      </c>
      <c r="K115" s="62">
        <f t="shared" si="37"/>
        <v>210</v>
      </c>
    </row>
    <row r="116" s="62" customFormat="1" ht="18" customHeight="1" spans="1:11">
      <c r="A116" s="123"/>
      <c r="B116" s="11" t="s">
        <v>517</v>
      </c>
      <c r="C116" s="11"/>
      <c r="D116" s="7" t="s">
        <v>518</v>
      </c>
      <c r="E116" s="7">
        <v>15</v>
      </c>
      <c r="F116" s="298">
        <f t="shared" si="34"/>
        <v>5</v>
      </c>
      <c r="G116" s="298">
        <f t="shared" si="38"/>
        <v>50</v>
      </c>
      <c r="H116" s="409">
        <f t="shared" si="35"/>
        <v>75</v>
      </c>
      <c r="I116" s="409">
        <f t="shared" si="36"/>
        <v>750</v>
      </c>
      <c r="J116" s="416">
        <f t="shared" ref="J116:J121" si="39">E116*F116</f>
        <v>75</v>
      </c>
      <c r="K116" s="62">
        <f t="shared" si="37"/>
        <v>750</v>
      </c>
    </row>
    <row r="117" s="62" customFormat="1" ht="18" customHeight="1" spans="1:11">
      <c r="A117" s="123"/>
      <c r="B117" s="11" t="s">
        <v>519</v>
      </c>
      <c r="C117" s="11" t="s">
        <v>520</v>
      </c>
      <c r="D117" s="7" t="s">
        <v>511</v>
      </c>
      <c r="E117" s="7">
        <v>150</v>
      </c>
      <c r="F117" s="298">
        <f t="shared" si="34"/>
        <v>1.5</v>
      </c>
      <c r="G117" s="298">
        <f t="shared" si="38"/>
        <v>15</v>
      </c>
      <c r="H117" s="409">
        <f t="shared" si="35"/>
        <v>225</v>
      </c>
      <c r="I117" s="409">
        <f t="shared" si="36"/>
        <v>2250</v>
      </c>
      <c r="J117" s="416">
        <f t="shared" si="39"/>
        <v>225</v>
      </c>
      <c r="K117" s="62">
        <f t="shared" si="37"/>
        <v>2250</v>
      </c>
    </row>
    <row r="118" s="62" customFormat="1" ht="18" customHeight="1" spans="1:11">
      <c r="A118" s="123"/>
      <c r="B118" s="11" t="s">
        <v>521</v>
      </c>
      <c r="C118" s="11" t="s">
        <v>522</v>
      </c>
      <c r="D118" s="7" t="s">
        <v>511</v>
      </c>
      <c r="E118" s="7">
        <v>300</v>
      </c>
      <c r="F118" s="298">
        <f t="shared" si="34"/>
        <v>2</v>
      </c>
      <c r="G118" s="298">
        <f t="shared" si="38"/>
        <v>20</v>
      </c>
      <c r="H118" s="409">
        <f t="shared" si="35"/>
        <v>600</v>
      </c>
      <c r="I118" s="409">
        <f t="shared" si="36"/>
        <v>6000</v>
      </c>
      <c r="J118" s="416">
        <f t="shared" si="39"/>
        <v>600</v>
      </c>
      <c r="K118" s="62">
        <f t="shared" si="37"/>
        <v>6000</v>
      </c>
    </row>
    <row r="119" s="62" customFormat="1" ht="18" customHeight="1" spans="1:11">
      <c r="A119" s="123"/>
      <c r="B119" s="11" t="s">
        <v>523</v>
      </c>
      <c r="C119" s="11" t="s">
        <v>524</v>
      </c>
      <c r="D119" s="7" t="s">
        <v>525</v>
      </c>
      <c r="E119" s="7">
        <v>2</v>
      </c>
      <c r="F119" s="298">
        <f t="shared" si="34"/>
        <v>6.5</v>
      </c>
      <c r="G119" s="298">
        <f t="shared" si="38"/>
        <v>65</v>
      </c>
      <c r="H119" s="409">
        <f t="shared" si="35"/>
        <v>13</v>
      </c>
      <c r="I119" s="409">
        <f t="shared" si="36"/>
        <v>130</v>
      </c>
      <c r="J119" s="416">
        <f t="shared" si="39"/>
        <v>13</v>
      </c>
      <c r="K119" s="62">
        <f t="shared" si="37"/>
        <v>130</v>
      </c>
    </row>
    <row r="120" s="62" customFormat="1" ht="18" customHeight="1" spans="1:11">
      <c r="A120" s="123"/>
      <c r="B120" s="11" t="s">
        <v>526</v>
      </c>
      <c r="C120" s="11" t="s">
        <v>527</v>
      </c>
      <c r="D120" s="7" t="s">
        <v>511</v>
      </c>
      <c r="E120" s="7">
        <v>20</v>
      </c>
      <c r="F120" s="298">
        <f t="shared" si="34"/>
        <v>8.5</v>
      </c>
      <c r="G120" s="298">
        <f t="shared" si="38"/>
        <v>85</v>
      </c>
      <c r="H120" s="409">
        <f t="shared" si="35"/>
        <v>170</v>
      </c>
      <c r="I120" s="409">
        <f t="shared" si="36"/>
        <v>1700</v>
      </c>
      <c r="J120" s="416">
        <f t="shared" si="39"/>
        <v>170</v>
      </c>
      <c r="K120" s="62">
        <f t="shared" si="37"/>
        <v>1700</v>
      </c>
    </row>
    <row r="121" s="62" customFormat="1" ht="18" customHeight="1" spans="1:11">
      <c r="A121" s="123"/>
      <c r="B121" s="11" t="s">
        <v>526</v>
      </c>
      <c r="C121" s="11" t="s">
        <v>528</v>
      </c>
      <c r="D121" s="7" t="s">
        <v>511</v>
      </c>
      <c r="E121" s="7">
        <v>20</v>
      </c>
      <c r="F121" s="298">
        <f t="shared" si="34"/>
        <v>4.5</v>
      </c>
      <c r="G121" s="298">
        <v>45</v>
      </c>
      <c r="H121" s="409">
        <f t="shared" si="35"/>
        <v>90</v>
      </c>
      <c r="I121" s="409">
        <f t="shared" si="36"/>
        <v>900</v>
      </c>
      <c r="J121" s="416">
        <f t="shared" si="39"/>
        <v>90</v>
      </c>
      <c r="K121" s="62">
        <f t="shared" si="37"/>
        <v>900</v>
      </c>
    </row>
    <row r="122" s="62" customFormat="1" ht="18" customHeight="1" spans="1:11">
      <c r="A122" s="123"/>
      <c r="B122" s="11" t="s">
        <v>526</v>
      </c>
      <c r="C122" s="11" t="s">
        <v>529</v>
      </c>
      <c r="D122" s="7" t="s">
        <v>511</v>
      </c>
      <c r="E122" s="7">
        <v>80</v>
      </c>
      <c r="F122" s="298">
        <f t="shared" si="34"/>
        <v>3</v>
      </c>
      <c r="G122" s="298">
        <f>G102</f>
        <v>30</v>
      </c>
      <c r="H122" s="409">
        <f t="shared" si="35"/>
        <v>240</v>
      </c>
      <c r="I122" s="409">
        <f t="shared" si="36"/>
        <v>2400</v>
      </c>
      <c r="J122" s="416">
        <f t="shared" ref="J122:J154" si="40">E122*F122</f>
        <v>240</v>
      </c>
      <c r="K122" s="62">
        <f t="shared" si="37"/>
        <v>2400</v>
      </c>
    </row>
    <row r="123" s="62" customFormat="1" ht="18" customHeight="1" spans="1:11">
      <c r="A123" s="123"/>
      <c r="B123" s="11" t="s">
        <v>530</v>
      </c>
      <c r="C123" s="11" t="s">
        <v>531</v>
      </c>
      <c r="D123" s="7" t="s">
        <v>511</v>
      </c>
      <c r="E123" s="7">
        <v>300</v>
      </c>
      <c r="F123" s="298">
        <f t="shared" si="34"/>
        <v>0.21</v>
      </c>
      <c r="G123" s="298">
        <f>G103</f>
        <v>2.1</v>
      </c>
      <c r="H123" s="409">
        <f t="shared" si="35"/>
        <v>63</v>
      </c>
      <c r="I123" s="409">
        <f t="shared" si="36"/>
        <v>630</v>
      </c>
      <c r="J123" s="416">
        <f t="shared" si="40"/>
        <v>63</v>
      </c>
      <c r="K123" s="62">
        <f t="shared" si="37"/>
        <v>630</v>
      </c>
    </row>
    <row r="124" s="62" customFormat="1" ht="18" customHeight="1" spans="1:11">
      <c r="A124" s="123"/>
      <c r="B124" s="11" t="s">
        <v>532</v>
      </c>
      <c r="C124" s="11" t="s">
        <v>533</v>
      </c>
      <c r="D124" s="7" t="s">
        <v>305</v>
      </c>
      <c r="E124" s="7">
        <v>1</v>
      </c>
      <c r="F124" s="298"/>
      <c r="G124" s="409">
        <v>1000</v>
      </c>
      <c r="H124" s="409"/>
      <c r="I124" s="409">
        <f t="shared" si="36"/>
        <v>1000</v>
      </c>
      <c r="J124" s="416">
        <f t="shared" si="40"/>
        <v>0</v>
      </c>
      <c r="K124" s="62">
        <f t="shared" si="37"/>
        <v>1000</v>
      </c>
    </row>
    <row r="125" s="62" customFormat="1" ht="18" customHeight="1" spans="1:11">
      <c r="A125" s="256"/>
      <c r="B125" s="11" t="s">
        <v>534</v>
      </c>
      <c r="C125" s="11"/>
      <c r="D125" s="7"/>
      <c r="E125" s="7"/>
      <c r="F125" s="123"/>
      <c r="G125" s="123"/>
      <c r="H125" s="409"/>
      <c r="I125" s="409">
        <f>SUM(I107:I124)*0.07749</f>
        <v>5331.795661584</v>
      </c>
      <c r="J125" s="416">
        <f t="shared" si="40"/>
        <v>0</v>
      </c>
      <c r="K125" s="62">
        <f>I125</f>
        <v>5331.795661584</v>
      </c>
    </row>
    <row r="126" ht="18" customHeight="1" spans="1:11">
      <c r="A126" s="5" t="s">
        <v>83</v>
      </c>
      <c r="B126" s="391" t="s">
        <v>84</v>
      </c>
      <c r="C126" s="391"/>
      <c r="D126" s="392"/>
      <c r="E126" s="393"/>
      <c r="F126" s="5"/>
      <c r="G126" s="394"/>
      <c r="H126" s="395">
        <f>H127+H164+H179</f>
        <v>23839.16</v>
      </c>
      <c r="I126" s="395">
        <f>I127+I164+I179</f>
        <v>180552</v>
      </c>
      <c r="J126" s="416">
        <f t="shared" si="40"/>
        <v>0</v>
      </c>
      <c r="K126" s="62">
        <f t="shared" ref="K126:K154" si="41">E126*G126</f>
        <v>0</v>
      </c>
    </row>
    <row r="127" ht="18" customHeight="1" spans="1:11">
      <c r="A127" s="5" t="s">
        <v>539</v>
      </c>
      <c r="B127" s="391" t="s">
        <v>540</v>
      </c>
      <c r="C127" s="391"/>
      <c r="D127" s="392"/>
      <c r="E127" s="393"/>
      <c r="F127" s="5"/>
      <c r="G127" s="394"/>
      <c r="H127" s="395">
        <f>H128+H140+H152</f>
        <v>10818</v>
      </c>
      <c r="I127" s="395">
        <f>I128+I140+I152</f>
        <v>84600</v>
      </c>
      <c r="J127" s="416">
        <f t="shared" si="40"/>
        <v>0</v>
      </c>
      <c r="K127" s="62">
        <f t="shared" si="41"/>
        <v>0</v>
      </c>
    </row>
    <row r="128" ht="18" customHeight="1" spans="1:11">
      <c r="A128" s="7">
        <v>1</v>
      </c>
      <c r="B128" s="11" t="s">
        <v>450</v>
      </c>
      <c r="C128" s="11"/>
      <c r="D128" s="410"/>
      <c r="E128" s="534"/>
      <c r="F128" s="7"/>
      <c r="G128" s="394"/>
      <c r="H128" s="394">
        <f>H129+H135</f>
        <v>3606</v>
      </c>
      <c r="I128" s="394">
        <f>I129+I135</f>
        <v>28200</v>
      </c>
      <c r="J128" s="416">
        <f t="shared" si="40"/>
        <v>0</v>
      </c>
      <c r="K128" s="62">
        <f t="shared" si="41"/>
        <v>0</v>
      </c>
    </row>
    <row r="129" ht="18" customHeight="1" spans="1:11">
      <c r="A129" s="411">
        <v>1.1</v>
      </c>
      <c r="B129" s="412" t="s">
        <v>541</v>
      </c>
      <c r="C129" s="11"/>
      <c r="D129" s="411"/>
      <c r="E129" s="411"/>
      <c r="F129" s="7"/>
      <c r="G129" s="394"/>
      <c r="H129" s="394">
        <f>SUM(H130:H134)</f>
        <v>2178</v>
      </c>
      <c r="I129" s="394">
        <f>SUM(I130:I134)</f>
        <v>21600</v>
      </c>
      <c r="J129" s="416">
        <f t="shared" si="40"/>
        <v>0</v>
      </c>
      <c r="K129" s="62">
        <f t="shared" si="41"/>
        <v>0</v>
      </c>
    </row>
    <row r="130" ht="18" customHeight="1" spans="1:11">
      <c r="A130" s="413"/>
      <c r="B130" s="414" t="s">
        <v>542</v>
      </c>
      <c r="C130" s="406" t="s">
        <v>543</v>
      </c>
      <c r="D130" s="413" t="s">
        <v>453</v>
      </c>
      <c r="E130" s="413">
        <v>1</v>
      </c>
      <c r="F130" s="7">
        <f t="shared" ref="F130:F134" si="42">G130*0.08</f>
        <v>1200</v>
      </c>
      <c r="G130" s="394">
        <v>15000</v>
      </c>
      <c r="H130" s="394">
        <f t="shared" ref="H130:H134" si="43">E130*F130</f>
        <v>1200</v>
      </c>
      <c r="I130" s="394">
        <f t="shared" ref="I130:I134" si="44">E130*G130</f>
        <v>15000</v>
      </c>
      <c r="J130" s="416">
        <f t="shared" si="40"/>
        <v>1200</v>
      </c>
      <c r="K130" s="62">
        <f t="shared" si="41"/>
        <v>15000</v>
      </c>
    </row>
    <row r="131" ht="18" customHeight="1" spans="1:11">
      <c r="A131" s="413"/>
      <c r="B131" s="414" t="s">
        <v>544</v>
      </c>
      <c r="C131" s="414" t="s">
        <v>545</v>
      </c>
      <c r="D131" s="413" t="s">
        <v>305</v>
      </c>
      <c r="E131" s="413">
        <v>3</v>
      </c>
      <c r="F131" s="7">
        <f t="shared" si="42"/>
        <v>160</v>
      </c>
      <c r="G131" s="394">
        <v>2000</v>
      </c>
      <c r="H131" s="394">
        <f t="shared" si="43"/>
        <v>480</v>
      </c>
      <c r="I131" s="394">
        <f t="shared" si="44"/>
        <v>6000</v>
      </c>
      <c r="J131" s="416">
        <f t="shared" si="40"/>
        <v>480</v>
      </c>
      <c r="K131" s="62">
        <f t="shared" si="41"/>
        <v>6000</v>
      </c>
    </row>
    <row r="132" ht="18" customHeight="1" spans="1:11">
      <c r="A132" s="413"/>
      <c r="B132" s="11" t="s">
        <v>546</v>
      </c>
      <c r="C132" s="11" t="s">
        <v>547</v>
      </c>
      <c r="D132" s="413" t="s">
        <v>548</v>
      </c>
      <c r="E132" s="413">
        <v>1</v>
      </c>
      <c r="F132" s="7">
        <v>450</v>
      </c>
      <c r="G132" s="394"/>
      <c r="H132" s="394">
        <f t="shared" si="43"/>
        <v>450</v>
      </c>
      <c r="I132" s="394">
        <f t="shared" si="44"/>
        <v>0</v>
      </c>
      <c r="J132" s="416">
        <f t="shared" si="40"/>
        <v>450</v>
      </c>
      <c r="K132" s="62">
        <f t="shared" si="41"/>
        <v>0</v>
      </c>
    </row>
    <row r="133" ht="18" customHeight="1" spans="1:11">
      <c r="A133" s="413"/>
      <c r="B133" s="414" t="s">
        <v>549</v>
      </c>
      <c r="C133" s="414" t="s">
        <v>550</v>
      </c>
      <c r="D133" s="413" t="s">
        <v>336</v>
      </c>
      <c r="E133" s="413">
        <v>1</v>
      </c>
      <c r="F133" s="7">
        <f t="shared" si="42"/>
        <v>24</v>
      </c>
      <c r="G133" s="394">
        <v>300</v>
      </c>
      <c r="H133" s="394">
        <f t="shared" si="43"/>
        <v>24</v>
      </c>
      <c r="I133" s="394">
        <f t="shared" si="44"/>
        <v>300</v>
      </c>
      <c r="J133" s="416">
        <f t="shared" si="40"/>
        <v>24</v>
      </c>
      <c r="K133" s="62">
        <f t="shared" si="41"/>
        <v>300</v>
      </c>
    </row>
    <row r="134" ht="18" customHeight="1" spans="1:11">
      <c r="A134" s="413"/>
      <c r="B134" s="414" t="s">
        <v>551</v>
      </c>
      <c r="C134" s="414" t="s">
        <v>552</v>
      </c>
      <c r="D134" s="413" t="s">
        <v>553</v>
      </c>
      <c r="E134" s="413">
        <v>1</v>
      </c>
      <c r="F134" s="7">
        <f t="shared" si="42"/>
        <v>24</v>
      </c>
      <c r="G134" s="394">
        <v>300</v>
      </c>
      <c r="H134" s="394">
        <f t="shared" si="43"/>
        <v>24</v>
      </c>
      <c r="I134" s="394">
        <f t="shared" si="44"/>
        <v>300</v>
      </c>
      <c r="J134" s="416">
        <f t="shared" si="40"/>
        <v>24</v>
      </c>
      <c r="K134" s="62">
        <f t="shared" si="41"/>
        <v>300</v>
      </c>
    </row>
    <row r="135" ht="18" customHeight="1" spans="1:11">
      <c r="A135" s="7">
        <v>1.2</v>
      </c>
      <c r="B135" s="11" t="s">
        <v>554</v>
      </c>
      <c r="C135" s="11"/>
      <c r="D135" s="410"/>
      <c r="E135" s="7"/>
      <c r="F135" s="7"/>
      <c r="G135" s="394"/>
      <c r="H135" s="394">
        <f>SUM(H136:H139)</f>
        <v>1428</v>
      </c>
      <c r="I135" s="394">
        <f>SUM(I136:I139)</f>
        <v>6600</v>
      </c>
      <c r="J135" s="416">
        <f t="shared" si="40"/>
        <v>0</v>
      </c>
      <c r="K135" s="62">
        <f t="shared" si="41"/>
        <v>0</v>
      </c>
    </row>
    <row r="136" ht="18" customHeight="1" spans="1:11">
      <c r="A136" s="7"/>
      <c r="B136" s="414" t="s">
        <v>555</v>
      </c>
      <c r="C136" s="414" t="s">
        <v>556</v>
      </c>
      <c r="D136" s="413" t="s">
        <v>453</v>
      </c>
      <c r="E136" s="413">
        <v>1</v>
      </c>
      <c r="F136" s="7">
        <f t="shared" ref="F136:F139" si="45">G136*0.08</f>
        <v>240</v>
      </c>
      <c r="G136" s="394">
        <v>3000</v>
      </c>
      <c r="H136" s="394">
        <f t="shared" ref="H136:H139" si="46">E136*F136</f>
        <v>240</v>
      </c>
      <c r="I136" s="394">
        <f t="shared" ref="I136:I139" si="47">E136*G136</f>
        <v>3000</v>
      </c>
      <c r="J136" s="416">
        <f t="shared" si="40"/>
        <v>240</v>
      </c>
      <c r="K136" s="62">
        <f t="shared" si="41"/>
        <v>3000</v>
      </c>
    </row>
    <row r="137" ht="18" customHeight="1" spans="1:11">
      <c r="A137" s="7"/>
      <c r="B137" s="414" t="s">
        <v>555</v>
      </c>
      <c r="C137" s="414" t="s">
        <v>557</v>
      </c>
      <c r="D137" s="413" t="s">
        <v>453</v>
      </c>
      <c r="E137" s="413">
        <v>1</v>
      </c>
      <c r="F137" s="7">
        <f t="shared" si="45"/>
        <v>240</v>
      </c>
      <c r="G137" s="394">
        <v>3000</v>
      </c>
      <c r="H137" s="394">
        <f t="shared" si="46"/>
        <v>240</v>
      </c>
      <c r="I137" s="394">
        <f t="shared" si="47"/>
        <v>3000</v>
      </c>
      <c r="J137" s="416">
        <f t="shared" si="40"/>
        <v>240</v>
      </c>
      <c r="K137" s="62">
        <f t="shared" si="41"/>
        <v>3000</v>
      </c>
    </row>
    <row r="138" ht="18" customHeight="1" spans="1:11">
      <c r="A138" s="7"/>
      <c r="B138" s="11" t="s">
        <v>558</v>
      </c>
      <c r="C138" s="11" t="s">
        <v>559</v>
      </c>
      <c r="D138" s="413" t="s">
        <v>548</v>
      </c>
      <c r="E138" s="413">
        <v>2</v>
      </c>
      <c r="F138" s="7">
        <v>450</v>
      </c>
      <c r="G138" s="394"/>
      <c r="H138" s="394">
        <f t="shared" si="46"/>
        <v>900</v>
      </c>
      <c r="I138" s="394">
        <f t="shared" si="47"/>
        <v>0</v>
      </c>
      <c r="J138" s="416">
        <f t="shared" si="40"/>
        <v>900</v>
      </c>
      <c r="K138" s="62">
        <f t="shared" si="41"/>
        <v>0</v>
      </c>
    </row>
    <row r="139" ht="18" customHeight="1" spans="1:11">
      <c r="A139" s="7"/>
      <c r="B139" s="414" t="s">
        <v>551</v>
      </c>
      <c r="C139" s="414" t="s">
        <v>552</v>
      </c>
      <c r="D139" s="413" t="s">
        <v>553</v>
      </c>
      <c r="E139" s="413">
        <v>2</v>
      </c>
      <c r="F139" s="7">
        <f t="shared" si="45"/>
        <v>24</v>
      </c>
      <c r="G139" s="394">
        <v>300</v>
      </c>
      <c r="H139" s="394">
        <f t="shared" si="46"/>
        <v>48</v>
      </c>
      <c r="I139" s="394">
        <f t="shared" si="47"/>
        <v>600</v>
      </c>
      <c r="J139" s="416">
        <f t="shared" si="40"/>
        <v>48</v>
      </c>
      <c r="K139" s="62">
        <f t="shared" si="41"/>
        <v>600</v>
      </c>
    </row>
    <row r="140" ht="18" customHeight="1" spans="1:11">
      <c r="A140" s="7">
        <v>2</v>
      </c>
      <c r="B140" s="11" t="s">
        <v>480</v>
      </c>
      <c r="C140" s="11"/>
      <c r="D140" s="410"/>
      <c r="E140" s="7"/>
      <c r="F140" s="7"/>
      <c r="G140" s="394"/>
      <c r="H140" s="394">
        <f>H141+H147</f>
        <v>3606</v>
      </c>
      <c r="I140" s="394">
        <f>I141+I147</f>
        <v>28200</v>
      </c>
      <c r="J140" s="416">
        <f t="shared" si="40"/>
        <v>0</v>
      </c>
      <c r="K140" s="62">
        <f t="shared" si="41"/>
        <v>0</v>
      </c>
    </row>
    <row r="141" ht="18" customHeight="1" spans="1:11">
      <c r="A141" s="411">
        <v>2.1</v>
      </c>
      <c r="B141" s="412" t="s">
        <v>560</v>
      </c>
      <c r="C141" s="11"/>
      <c r="D141" s="411"/>
      <c r="E141" s="411"/>
      <c r="F141" s="7"/>
      <c r="G141" s="394"/>
      <c r="H141" s="394">
        <f>SUM(H142:H146)</f>
        <v>2178</v>
      </c>
      <c r="I141" s="394">
        <f>SUM(I142:I146)</f>
        <v>21600</v>
      </c>
      <c r="J141" s="416">
        <f t="shared" si="40"/>
        <v>0</v>
      </c>
      <c r="K141" s="62">
        <f t="shared" si="41"/>
        <v>0</v>
      </c>
    </row>
    <row r="142" ht="18" customHeight="1" spans="1:11">
      <c r="A142" s="413"/>
      <c r="B142" s="414" t="s">
        <v>542</v>
      </c>
      <c r="C142" s="406" t="s">
        <v>543</v>
      </c>
      <c r="D142" s="413" t="s">
        <v>453</v>
      </c>
      <c r="E142" s="413">
        <v>1</v>
      </c>
      <c r="F142" s="7">
        <f t="shared" ref="F142:F146" si="48">G142*0.08</f>
        <v>1200</v>
      </c>
      <c r="G142" s="394">
        <f>G130</f>
        <v>15000</v>
      </c>
      <c r="H142" s="394">
        <f t="shared" ref="H142:H146" si="49">E142*F142</f>
        <v>1200</v>
      </c>
      <c r="I142" s="394">
        <f t="shared" ref="I142:I146" si="50">E142*G142</f>
        <v>15000</v>
      </c>
      <c r="J142" s="416">
        <f t="shared" si="40"/>
        <v>1200</v>
      </c>
      <c r="K142" s="62">
        <f t="shared" si="41"/>
        <v>15000</v>
      </c>
    </row>
    <row r="143" ht="18" customHeight="1" spans="1:11">
      <c r="A143" s="413"/>
      <c r="B143" s="414" t="s">
        <v>544</v>
      </c>
      <c r="C143" s="414" t="s">
        <v>545</v>
      </c>
      <c r="D143" s="413" t="s">
        <v>305</v>
      </c>
      <c r="E143" s="413">
        <v>3</v>
      </c>
      <c r="F143" s="7">
        <f t="shared" si="48"/>
        <v>160</v>
      </c>
      <c r="G143" s="394">
        <f>G131</f>
        <v>2000</v>
      </c>
      <c r="H143" s="394">
        <f t="shared" si="49"/>
        <v>480</v>
      </c>
      <c r="I143" s="394">
        <f t="shared" si="50"/>
        <v>6000</v>
      </c>
      <c r="J143" s="416">
        <f t="shared" si="40"/>
        <v>480</v>
      </c>
      <c r="K143" s="62">
        <f t="shared" si="41"/>
        <v>6000</v>
      </c>
    </row>
    <row r="144" ht="18" customHeight="1" spans="1:11">
      <c r="A144" s="413"/>
      <c r="B144" s="11" t="s">
        <v>546</v>
      </c>
      <c r="C144" s="11" t="s">
        <v>547</v>
      </c>
      <c r="D144" s="413" t="s">
        <v>548</v>
      </c>
      <c r="E144" s="413">
        <v>1</v>
      </c>
      <c r="F144" s="7">
        <v>450</v>
      </c>
      <c r="G144" s="394"/>
      <c r="H144" s="394">
        <f t="shared" si="49"/>
        <v>450</v>
      </c>
      <c r="I144" s="394">
        <f t="shared" si="50"/>
        <v>0</v>
      </c>
      <c r="J144" s="416">
        <f t="shared" si="40"/>
        <v>450</v>
      </c>
      <c r="K144" s="62">
        <f t="shared" si="41"/>
        <v>0</v>
      </c>
    </row>
    <row r="145" ht="18" customHeight="1" spans="1:11">
      <c r="A145" s="413"/>
      <c r="B145" s="414" t="s">
        <v>549</v>
      </c>
      <c r="C145" s="414" t="s">
        <v>550</v>
      </c>
      <c r="D145" s="413" t="s">
        <v>336</v>
      </c>
      <c r="E145" s="413">
        <v>1</v>
      </c>
      <c r="F145" s="7">
        <f t="shared" si="48"/>
        <v>24</v>
      </c>
      <c r="G145" s="394">
        <v>300</v>
      </c>
      <c r="H145" s="394">
        <f t="shared" si="49"/>
        <v>24</v>
      </c>
      <c r="I145" s="394">
        <f t="shared" si="50"/>
        <v>300</v>
      </c>
      <c r="J145" s="416">
        <f t="shared" si="40"/>
        <v>24</v>
      </c>
      <c r="K145" s="62">
        <f t="shared" si="41"/>
        <v>300</v>
      </c>
    </row>
    <row r="146" ht="18" customHeight="1" spans="1:11">
      <c r="A146" s="413"/>
      <c r="B146" s="414" t="s">
        <v>551</v>
      </c>
      <c r="C146" s="414" t="s">
        <v>552</v>
      </c>
      <c r="D146" s="413" t="s">
        <v>553</v>
      </c>
      <c r="E146" s="413">
        <v>1</v>
      </c>
      <c r="F146" s="7">
        <f t="shared" si="48"/>
        <v>24</v>
      </c>
      <c r="G146" s="394">
        <v>300</v>
      </c>
      <c r="H146" s="394">
        <f t="shared" si="49"/>
        <v>24</v>
      </c>
      <c r="I146" s="394">
        <f t="shared" si="50"/>
        <v>300</v>
      </c>
      <c r="J146" s="416">
        <f t="shared" si="40"/>
        <v>24</v>
      </c>
      <c r="K146" s="62">
        <f t="shared" si="41"/>
        <v>300</v>
      </c>
    </row>
    <row r="147" ht="18" customHeight="1" spans="1:11">
      <c r="A147" s="7">
        <v>2.2</v>
      </c>
      <c r="B147" s="11" t="s">
        <v>561</v>
      </c>
      <c r="C147" s="11"/>
      <c r="D147" s="410"/>
      <c r="E147" s="7"/>
      <c r="F147" s="7"/>
      <c r="G147" s="394"/>
      <c r="H147" s="394">
        <f>SUM(H148:H151)</f>
        <v>1428</v>
      </c>
      <c r="I147" s="394">
        <f>SUM(I148:I151)</f>
        <v>6600</v>
      </c>
      <c r="J147" s="416">
        <f t="shared" si="40"/>
        <v>0</v>
      </c>
      <c r="K147" s="62">
        <f t="shared" si="41"/>
        <v>0</v>
      </c>
    </row>
    <row r="148" ht="18" customHeight="1" spans="1:11">
      <c r="A148" s="7"/>
      <c r="B148" s="414" t="s">
        <v>555</v>
      </c>
      <c r="C148" s="414" t="s">
        <v>556</v>
      </c>
      <c r="D148" s="413" t="s">
        <v>453</v>
      </c>
      <c r="E148" s="413">
        <v>1</v>
      </c>
      <c r="F148" s="7">
        <f t="shared" ref="F148:F151" si="51">G148*0.08</f>
        <v>240</v>
      </c>
      <c r="G148" s="394">
        <v>3000</v>
      </c>
      <c r="H148" s="394">
        <f t="shared" ref="H148:H151" si="52">E148*F148</f>
        <v>240</v>
      </c>
      <c r="I148" s="394">
        <f t="shared" ref="I148:I151" si="53">E148*G148</f>
        <v>3000</v>
      </c>
      <c r="J148" s="416">
        <f t="shared" si="40"/>
        <v>240</v>
      </c>
      <c r="K148" s="62">
        <f t="shared" si="41"/>
        <v>3000</v>
      </c>
    </row>
    <row r="149" ht="18" customHeight="1" spans="1:11">
      <c r="A149" s="7"/>
      <c r="B149" s="414" t="s">
        <v>555</v>
      </c>
      <c r="C149" s="414" t="s">
        <v>557</v>
      </c>
      <c r="D149" s="413" t="s">
        <v>453</v>
      </c>
      <c r="E149" s="413">
        <v>1</v>
      </c>
      <c r="F149" s="7">
        <f t="shared" si="51"/>
        <v>240</v>
      </c>
      <c r="G149" s="394">
        <v>3000</v>
      </c>
      <c r="H149" s="394">
        <f t="shared" si="52"/>
        <v>240</v>
      </c>
      <c r="I149" s="394">
        <f t="shared" si="53"/>
        <v>3000</v>
      </c>
      <c r="J149" s="416">
        <f t="shared" si="40"/>
        <v>240</v>
      </c>
      <c r="K149" s="62">
        <f t="shared" si="41"/>
        <v>3000</v>
      </c>
    </row>
    <row r="150" ht="18" customHeight="1" spans="1:11">
      <c r="A150" s="7"/>
      <c r="B150" s="414" t="s">
        <v>558</v>
      </c>
      <c r="C150" s="414" t="s">
        <v>559</v>
      </c>
      <c r="D150" s="413" t="s">
        <v>548</v>
      </c>
      <c r="E150" s="413">
        <v>2</v>
      </c>
      <c r="F150" s="7">
        <v>450</v>
      </c>
      <c r="G150" s="394"/>
      <c r="H150" s="394">
        <f t="shared" si="52"/>
        <v>900</v>
      </c>
      <c r="I150" s="394">
        <f t="shared" si="53"/>
        <v>0</v>
      </c>
      <c r="J150" s="416">
        <f t="shared" si="40"/>
        <v>900</v>
      </c>
      <c r="K150" s="62">
        <f t="shared" si="41"/>
        <v>0</v>
      </c>
    </row>
    <row r="151" ht="18" customHeight="1" spans="1:11">
      <c r="A151" s="7"/>
      <c r="B151" s="414" t="s">
        <v>551</v>
      </c>
      <c r="C151" s="414" t="s">
        <v>552</v>
      </c>
      <c r="D151" s="413" t="s">
        <v>553</v>
      </c>
      <c r="E151" s="413">
        <v>2</v>
      </c>
      <c r="F151" s="7">
        <f t="shared" si="51"/>
        <v>24</v>
      </c>
      <c r="G151" s="394">
        <v>300</v>
      </c>
      <c r="H151" s="394">
        <f t="shared" si="52"/>
        <v>48</v>
      </c>
      <c r="I151" s="394">
        <f t="shared" si="53"/>
        <v>600</v>
      </c>
      <c r="J151" s="416">
        <f t="shared" si="40"/>
        <v>48</v>
      </c>
      <c r="K151" s="62">
        <f t="shared" si="41"/>
        <v>600</v>
      </c>
    </row>
    <row r="152" ht="18" customHeight="1" spans="1:11">
      <c r="A152" s="7">
        <v>3</v>
      </c>
      <c r="B152" s="11" t="s">
        <v>493</v>
      </c>
      <c r="C152" s="11"/>
      <c r="D152" s="410"/>
      <c r="E152" s="7"/>
      <c r="F152" s="7"/>
      <c r="G152" s="394"/>
      <c r="H152" s="394">
        <f>H153+H159</f>
        <v>3606</v>
      </c>
      <c r="I152" s="394">
        <f>I153+I159</f>
        <v>28200</v>
      </c>
      <c r="J152" s="416">
        <f t="shared" si="40"/>
        <v>0</v>
      </c>
      <c r="K152" s="62">
        <f t="shared" si="41"/>
        <v>0</v>
      </c>
    </row>
    <row r="153" ht="18" customHeight="1" spans="1:11">
      <c r="A153" s="411">
        <v>3.1</v>
      </c>
      <c r="B153" s="412" t="s">
        <v>562</v>
      </c>
      <c r="C153" s="11"/>
      <c r="D153" s="411"/>
      <c r="E153" s="411"/>
      <c r="F153" s="7"/>
      <c r="G153" s="394"/>
      <c r="H153" s="394">
        <f>SUM(H154:H158)</f>
        <v>2178</v>
      </c>
      <c r="I153" s="394">
        <f>SUM(I154:I158)</f>
        <v>21600</v>
      </c>
      <c r="J153" s="416">
        <f t="shared" si="40"/>
        <v>0</v>
      </c>
      <c r="K153" s="62">
        <f t="shared" si="41"/>
        <v>0</v>
      </c>
    </row>
    <row r="154" ht="18" customHeight="1" spans="1:11">
      <c r="A154" s="413"/>
      <c r="B154" s="414" t="s">
        <v>542</v>
      </c>
      <c r="C154" s="406" t="s">
        <v>543</v>
      </c>
      <c r="D154" s="413" t="s">
        <v>453</v>
      </c>
      <c r="E154" s="413">
        <v>1</v>
      </c>
      <c r="F154" s="7">
        <f>G154*0.08</f>
        <v>1200</v>
      </c>
      <c r="G154" s="394">
        <f>G142</f>
        <v>15000</v>
      </c>
      <c r="H154" s="394">
        <f t="shared" ref="H154:H156" si="54">E154*F154</f>
        <v>1200</v>
      </c>
      <c r="I154" s="394">
        <f t="shared" ref="I154:I156" si="55">E154*G154</f>
        <v>15000</v>
      </c>
      <c r="J154" s="416">
        <f t="shared" si="40"/>
        <v>1200</v>
      </c>
      <c r="K154" s="62">
        <f t="shared" si="41"/>
        <v>15000</v>
      </c>
    </row>
    <row r="155" ht="18" customHeight="1" spans="1:11">
      <c r="A155" s="413"/>
      <c r="B155" s="414" t="s">
        <v>544</v>
      </c>
      <c r="C155" s="414" t="s">
        <v>545</v>
      </c>
      <c r="D155" s="413" t="s">
        <v>305</v>
      </c>
      <c r="E155" s="413">
        <v>3</v>
      </c>
      <c r="F155" s="7">
        <f t="shared" ref="F155:F161" si="56">G155*0.08</f>
        <v>160</v>
      </c>
      <c r="G155" s="394">
        <f>G143</f>
        <v>2000</v>
      </c>
      <c r="H155" s="394">
        <f t="shared" si="54"/>
        <v>480</v>
      </c>
      <c r="I155" s="394">
        <f t="shared" si="55"/>
        <v>6000</v>
      </c>
      <c r="J155" s="416">
        <f t="shared" ref="J155:J167" si="57">E155*F155</f>
        <v>480</v>
      </c>
      <c r="K155" s="62">
        <f t="shared" ref="K155:K167" si="58">E155*G155</f>
        <v>6000</v>
      </c>
    </row>
    <row r="156" ht="18" customHeight="1" spans="1:11">
      <c r="A156" s="413"/>
      <c r="B156" s="11" t="s">
        <v>546</v>
      </c>
      <c r="C156" s="11" t="s">
        <v>547</v>
      </c>
      <c r="D156" s="413" t="s">
        <v>548</v>
      </c>
      <c r="E156" s="413">
        <v>1</v>
      </c>
      <c r="F156" s="7">
        <v>450</v>
      </c>
      <c r="G156" s="394"/>
      <c r="H156" s="394">
        <f t="shared" si="54"/>
        <v>450</v>
      </c>
      <c r="I156" s="394">
        <f t="shared" si="55"/>
        <v>0</v>
      </c>
      <c r="J156" s="416">
        <f t="shared" si="57"/>
        <v>450</v>
      </c>
      <c r="K156" s="62">
        <f t="shared" si="58"/>
        <v>0</v>
      </c>
    </row>
    <row r="157" ht="18" customHeight="1" spans="1:11">
      <c r="A157" s="413"/>
      <c r="B157" s="414" t="s">
        <v>549</v>
      </c>
      <c r="C157" s="414" t="s">
        <v>550</v>
      </c>
      <c r="D157" s="413" t="s">
        <v>336</v>
      </c>
      <c r="E157" s="413">
        <v>1</v>
      </c>
      <c r="F157" s="7">
        <f t="shared" si="56"/>
        <v>24</v>
      </c>
      <c r="G157" s="394">
        <v>300</v>
      </c>
      <c r="H157" s="394">
        <f t="shared" ref="H157:H163" si="59">E157*F157</f>
        <v>24</v>
      </c>
      <c r="I157" s="394">
        <f t="shared" ref="I157:I163" si="60">E157*G157</f>
        <v>300</v>
      </c>
      <c r="J157" s="416">
        <f t="shared" si="57"/>
        <v>24</v>
      </c>
      <c r="K157" s="62">
        <f t="shared" si="58"/>
        <v>300</v>
      </c>
    </row>
    <row r="158" ht="18" customHeight="1" spans="1:11">
      <c r="A158" s="413"/>
      <c r="B158" s="414" t="s">
        <v>551</v>
      </c>
      <c r="C158" s="414" t="s">
        <v>552</v>
      </c>
      <c r="D158" s="413" t="s">
        <v>553</v>
      </c>
      <c r="E158" s="413">
        <v>1</v>
      </c>
      <c r="F158" s="7">
        <f t="shared" si="56"/>
        <v>24</v>
      </c>
      <c r="G158" s="394">
        <v>300</v>
      </c>
      <c r="H158" s="394">
        <f t="shared" si="59"/>
        <v>24</v>
      </c>
      <c r="I158" s="394">
        <f t="shared" si="60"/>
        <v>300</v>
      </c>
      <c r="J158" s="416">
        <f t="shared" si="57"/>
        <v>24</v>
      </c>
      <c r="K158" s="62">
        <f t="shared" si="58"/>
        <v>300</v>
      </c>
    </row>
    <row r="159" ht="18" customHeight="1" spans="1:11">
      <c r="A159" s="7">
        <v>3.2</v>
      </c>
      <c r="B159" s="11" t="s">
        <v>563</v>
      </c>
      <c r="C159" s="11"/>
      <c r="D159" s="410"/>
      <c r="E159" s="7"/>
      <c r="F159" s="7"/>
      <c r="G159" s="394"/>
      <c r="H159" s="394">
        <f>SUM(H160:H163)</f>
        <v>1428</v>
      </c>
      <c r="I159" s="394">
        <f>SUM(I160:I163)</f>
        <v>6600</v>
      </c>
      <c r="J159" s="416">
        <f t="shared" si="57"/>
        <v>0</v>
      </c>
      <c r="K159" s="62">
        <f t="shared" si="58"/>
        <v>0</v>
      </c>
    </row>
    <row r="160" ht="18" customHeight="1" spans="1:11">
      <c r="A160" s="7"/>
      <c r="B160" s="414" t="s">
        <v>555</v>
      </c>
      <c r="C160" s="414" t="s">
        <v>556</v>
      </c>
      <c r="D160" s="413" t="s">
        <v>453</v>
      </c>
      <c r="E160" s="413">
        <v>1</v>
      </c>
      <c r="F160" s="7">
        <f t="shared" si="56"/>
        <v>240</v>
      </c>
      <c r="G160" s="394">
        <v>3000</v>
      </c>
      <c r="H160" s="394">
        <f t="shared" si="59"/>
        <v>240</v>
      </c>
      <c r="I160" s="394">
        <f t="shared" si="60"/>
        <v>3000</v>
      </c>
      <c r="J160" s="416">
        <f t="shared" si="57"/>
        <v>240</v>
      </c>
      <c r="K160" s="62">
        <f t="shared" si="58"/>
        <v>3000</v>
      </c>
    </row>
    <row r="161" ht="18" customHeight="1" spans="1:11">
      <c r="A161" s="7"/>
      <c r="B161" s="414" t="s">
        <v>555</v>
      </c>
      <c r="C161" s="414" t="s">
        <v>557</v>
      </c>
      <c r="D161" s="413" t="s">
        <v>453</v>
      </c>
      <c r="E161" s="413">
        <v>1</v>
      </c>
      <c r="F161" s="7">
        <f t="shared" si="56"/>
        <v>240</v>
      </c>
      <c r="G161" s="394">
        <v>3000</v>
      </c>
      <c r="H161" s="394">
        <f t="shared" si="59"/>
        <v>240</v>
      </c>
      <c r="I161" s="394">
        <f t="shared" si="60"/>
        <v>3000</v>
      </c>
      <c r="J161" s="416">
        <f t="shared" si="57"/>
        <v>240</v>
      </c>
      <c r="K161" s="62">
        <f t="shared" si="58"/>
        <v>3000</v>
      </c>
    </row>
    <row r="162" ht="18" customHeight="1" spans="1:11">
      <c r="A162" s="7"/>
      <c r="B162" s="414" t="s">
        <v>558</v>
      </c>
      <c r="C162" s="414" t="s">
        <v>559</v>
      </c>
      <c r="D162" s="413" t="s">
        <v>548</v>
      </c>
      <c r="E162" s="413">
        <v>2</v>
      </c>
      <c r="F162" s="7">
        <v>450</v>
      </c>
      <c r="G162" s="394"/>
      <c r="H162" s="394">
        <f t="shared" si="59"/>
        <v>900</v>
      </c>
      <c r="I162" s="394">
        <f t="shared" si="60"/>
        <v>0</v>
      </c>
      <c r="J162" s="416">
        <f t="shared" si="57"/>
        <v>900</v>
      </c>
      <c r="K162" s="62">
        <f t="shared" si="58"/>
        <v>0</v>
      </c>
    </row>
    <row r="163" ht="18" customHeight="1" spans="1:11">
      <c r="A163" s="7"/>
      <c r="B163" s="414" t="s">
        <v>551</v>
      </c>
      <c r="C163" s="414" t="s">
        <v>552</v>
      </c>
      <c r="D163" s="413" t="s">
        <v>553</v>
      </c>
      <c r="E163" s="413">
        <v>2</v>
      </c>
      <c r="F163" s="7">
        <f>G163*0.08</f>
        <v>24</v>
      </c>
      <c r="G163" s="394">
        <v>300</v>
      </c>
      <c r="H163" s="394">
        <f t="shared" si="59"/>
        <v>48</v>
      </c>
      <c r="I163" s="394">
        <f t="shared" si="60"/>
        <v>600</v>
      </c>
      <c r="J163" s="416">
        <f t="shared" si="57"/>
        <v>48</v>
      </c>
      <c r="K163" s="62">
        <f t="shared" si="58"/>
        <v>600</v>
      </c>
    </row>
    <row r="164" ht="18" customHeight="1" spans="1:11">
      <c r="A164" s="5" t="s">
        <v>564</v>
      </c>
      <c r="B164" s="418" t="s">
        <v>565</v>
      </c>
      <c r="C164" s="406"/>
      <c r="D164" s="123"/>
      <c r="E164" s="123"/>
      <c r="F164" s="7"/>
      <c r="G164" s="394"/>
      <c r="H164" s="395">
        <f>H165+H169+H174</f>
        <v>7676.16</v>
      </c>
      <c r="I164" s="395">
        <f>I165+I169+I174</f>
        <v>95952</v>
      </c>
      <c r="J164" s="416">
        <f t="shared" si="57"/>
        <v>0</v>
      </c>
      <c r="K164" s="62">
        <f t="shared" si="58"/>
        <v>0</v>
      </c>
    </row>
    <row r="165" ht="18" customHeight="1" spans="1:11">
      <c r="A165" s="413">
        <v>1</v>
      </c>
      <c r="B165" s="414" t="s">
        <v>566</v>
      </c>
      <c r="C165" s="414"/>
      <c r="D165" s="413"/>
      <c r="E165" s="413"/>
      <c r="F165" s="7"/>
      <c r="G165" s="394"/>
      <c r="H165" s="394">
        <f>SUM(H166:H168)</f>
        <v>2441.6</v>
      </c>
      <c r="I165" s="394">
        <f>SUM(I166:I168)</f>
        <v>30520</v>
      </c>
      <c r="J165" s="416">
        <f t="shared" si="57"/>
        <v>0</v>
      </c>
      <c r="K165" s="62">
        <f t="shared" si="58"/>
        <v>0</v>
      </c>
    </row>
    <row r="166" ht="18" customHeight="1" spans="1:11">
      <c r="A166" s="413"/>
      <c r="B166" s="414" t="s">
        <v>567</v>
      </c>
      <c r="C166" s="414" t="s">
        <v>568</v>
      </c>
      <c r="D166" s="413" t="s">
        <v>453</v>
      </c>
      <c r="E166" s="413">
        <v>14</v>
      </c>
      <c r="F166" s="90">
        <f>G166*0.08</f>
        <v>124.8</v>
      </c>
      <c r="G166" s="394">
        <f>1300*1.2</f>
        <v>1560</v>
      </c>
      <c r="H166" s="394">
        <f>E166*F166</f>
        <v>1747.2</v>
      </c>
      <c r="I166" s="394">
        <f>E166*G166</f>
        <v>21840</v>
      </c>
      <c r="J166" s="416">
        <f t="shared" si="57"/>
        <v>1747.2</v>
      </c>
      <c r="K166" s="62">
        <f t="shared" si="58"/>
        <v>21840</v>
      </c>
    </row>
    <row r="167" ht="18" customHeight="1" spans="1:11">
      <c r="A167" s="413"/>
      <c r="B167" s="414" t="s">
        <v>569</v>
      </c>
      <c r="C167" s="414" t="s">
        <v>570</v>
      </c>
      <c r="D167" s="413" t="s">
        <v>453</v>
      </c>
      <c r="E167" s="413">
        <v>14</v>
      </c>
      <c r="F167" s="90">
        <f>G167*0.08</f>
        <v>33.6</v>
      </c>
      <c r="G167" s="394">
        <f>350*1.2</f>
        <v>420</v>
      </c>
      <c r="H167" s="394">
        <f>E167*F167</f>
        <v>470.4</v>
      </c>
      <c r="I167" s="394">
        <f>E167*G167</f>
        <v>5880</v>
      </c>
      <c r="J167" s="416">
        <f t="shared" si="57"/>
        <v>470.4</v>
      </c>
      <c r="K167" s="62">
        <f t="shared" si="58"/>
        <v>5880</v>
      </c>
    </row>
    <row r="168" ht="18" customHeight="1" spans="1:11">
      <c r="A168" s="413"/>
      <c r="B168" s="414" t="s">
        <v>571</v>
      </c>
      <c r="C168" s="414" t="s">
        <v>572</v>
      </c>
      <c r="D168" s="413" t="s">
        <v>305</v>
      </c>
      <c r="E168" s="413">
        <v>14</v>
      </c>
      <c r="F168" s="90">
        <f>G168*0.08</f>
        <v>16</v>
      </c>
      <c r="G168" s="394">
        <v>200</v>
      </c>
      <c r="H168" s="394">
        <f>E168*F168</f>
        <v>224</v>
      </c>
      <c r="I168" s="394">
        <f>E168*G168</f>
        <v>2800</v>
      </c>
      <c r="J168" s="416">
        <f t="shared" ref="J168:J171" si="61">E168*F168</f>
        <v>224</v>
      </c>
      <c r="K168" s="62">
        <f t="shared" ref="K168:K171" si="62">E168*G168</f>
        <v>2800</v>
      </c>
    </row>
    <row r="169" ht="18" customHeight="1" spans="1:11">
      <c r="A169" s="413">
        <v>2</v>
      </c>
      <c r="B169" s="414" t="s">
        <v>573</v>
      </c>
      <c r="C169" s="414"/>
      <c r="D169" s="413"/>
      <c r="E169" s="413"/>
      <c r="F169" s="90"/>
      <c r="G169" s="394"/>
      <c r="H169" s="394">
        <f>SUM(H170:H173)</f>
        <v>2810.24</v>
      </c>
      <c r="I169" s="394">
        <f>SUM(I170:I173)</f>
        <v>35128</v>
      </c>
      <c r="J169" s="416">
        <f t="shared" si="61"/>
        <v>0</v>
      </c>
      <c r="K169" s="62">
        <f t="shared" si="62"/>
        <v>0</v>
      </c>
    </row>
    <row r="170" ht="18" customHeight="1" spans="1:11">
      <c r="A170" s="413"/>
      <c r="B170" s="414" t="s">
        <v>567</v>
      </c>
      <c r="C170" s="414" t="s">
        <v>568</v>
      </c>
      <c r="D170" s="413" t="s">
        <v>453</v>
      </c>
      <c r="E170" s="413">
        <v>17</v>
      </c>
      <c r="F170" s="90">
        <f>G170*0.08</f>
        <v>124.8</v>
      </c>
      <c r="G170" s="394">
        <f>G166</f>
        <v>1560</v>
      </c>
      <c r="H170" s="394">
        <f>E170*F170</f>
        <v>2121.6</v>
      </c>
      <c r="I170" s="394">
        <f>E170*G170</f>
        <v>26520</v>
      </c>
      <c r="J170" s="416">
        <f t="shared" si="61"/>
        <v>2121.6</v>
      </c>
      <c r="K170" s="62">
        <f t="shared" si="62"/>
        <v>26520</v>
      </c>
    </row>
    <row r="171" ht="18" customHeight="1" spans="1:11">
      <c r="A171" s="413"/>
      <c r="B171" s="414" t="s">
        <v>574</v>
      </c>
      <c r="C171" s="414" t="s">
        <v>570</v>
      </c>
      <c r="D171" s="413" t="s">
        <v>453</v>
      </c>
      <c r="E171" s="413">
        <v>14</v>
      </c>
      <c r="F171" s="90">
        <f t="shared" ref="F171:F178" si="63">G171*0.08</f>
        <v>24.96</v>
      </c>
      <c r="G171" s="394">
        <v>312</v>
      </c>
      <c r="H171" s="394">
        <f t="shared" ref="H171:H178" si="64">E171*F171</f>
        <v>349.44</v>
      </c>
      <c r="I171" s="394">
        <f t="shared" ref="I171:I178" si="65">E171*G171</f>
        <v>4368</v>
      </c>
      <c r="J171" s="416">
        <f t="shared" si="61"/>
        <v>349.44</v>
      </c>
      <c r="K171" s="62">
        <f t="shared" si="62"/>
        <v>4368</v>
      </c>
    </row>
    <row r="172" ht="18" customHeight="1" spans="1:11">
      <c r="A172" s="413"/>
      <c r="B172" s="414" t="s">
        <v>575</v>
      </c>
      <c r="C172" s="414" t="s">
        <v>570</v>
      </c>
      <c r="D172" s="413" t="s">
        <v>453</v>
      </c>
      <c r="E172" s="413">
        <v>3</v>
      </c>
      <c r="F172" s="90">
        <f t="shared" si="63"/>
        <v>22.4</v>
      </c>
      <c r="G172" s="394">
        <f>280</f>
        <v>280</v>
      </c>
      <c r="H172" s="394">
        <f t="shared" si="64"/>
        <v>67.2</v>
      </c>
      <c r="I172" s="394">
        <f t="shared" si="65"/>
        <v>840</v>
      </c>
      <c r="J172" s="416">
        <f t="shared" ref="J172:J178" si="66">E172*F172</f>
        <v>67.2</v>
      </c>
      <c r="K172" s="62">
        <f t="shared" ref="K172:K179" si="67">E172*G172</f>
        <v>840</v>
      </c>
    </row>
    <row r="173" ht="18" customHeight="1" spans="1:11">
      <c r="A173" s="413"/>
      <c r="B173" s="414" t="s">
        <v>571</v>
      </c>
      <c r="C173" s="414" t="s">
        <v>572</v>
      </c>
      <c r="D173" s="413" t="s">
        <v>305</v>
      </c>
      <c r="E173" s="413">
        <v>17</v>
      </c>
      <c r="F173" s="90">
        <f t="shared" si="63"/>
        <v>16</v>
      </c>
      <c r="G173" s="394">
        <f>G168</f>
        <v>200</v>
      </c>
      <c r="H173" s="394">
        <f t="shared" si="64"/>
        <v>272</v>
      </c>
      <c r="I173" s="394">
        <f t="shared" si="65"/>
        <v>3400</v>
      </c>
      <c r="J173" s="416">
        <f t="shared" si="66"/>
        <v>272</v>
      </c>
      <c r="K173" s="62">
        <f t="shared" si="67"/>
        <v>3400</v>
      </c>
    </row>
    <row r="174" ht="18" customHeight="1" spans="1:11">
      <c r="A174" s="413">
        <v>3</v>
      </c>
      <c r="B174" s="414" t="s">
        <v>576</v>
      </c>
      <c r="C174" s="414"/>
      <c r="D174" s="413"/>
      <c r="E174" s="413"/>
      <c r="F174" s="90"/>
      <c r="G174" s="394"/>
      <c r="H174" s="394">
        <f>SUM(H175:H178)</f>
        <v>2424.32</v>
      </c>
      <c r="I174" s="394">
        <f>SUM(I175:I178)</f>
        <v>30304</v>
      </c>
      <c r="J174" s="416">
        <f t="shared" si="66"/>
        <v>0</v>
      </c>
      <c r="K174" s="62">
        <f t="shared" si="67"/>
        <v>0</v>
      </c>
    </row>
    <row r="175" ht="18" customHeight="1" spans="1:11">
      <c r="A175" s="413"/>
      <c r="B175" s="414" t="s">
        <v>567</v>
      </c>
      <c r="C175" s="414" t="s">
        <v>568</v>
      </c>
      <c r="D175" s="413" t="s">
        <v>453</v>
      </c>
      <c r="E175" s="413">
        <v>14</v>
      </c>
      <c r="F175" s="90">
        <f t="shared" si="63"/>
        <v>124.8</v>
      </c>
      <c r="G175" s="394">
        <f>G170</f>
        <v>1560</v>
      </c>
      <c r="H175" s="394">
        <f t="shared" si="64"/>
        <v>1747.2</v>
      </c>
      <c r="I175" s="394">
        <f t="shared" si="65"/>
        <v>21840</v>
      </c>
      <c r="J175" s="416">
        <f t="shared" si="66"/>
        <v>1747.2</v>
      </c>
      <c r="K175" s="62">
        <f t="shared" si="67"/>
        <v>21840</v>
      </c>
    </row>
    <row r="176" ht="18" customHeight="1" spans="1:11">
      <c r="A176" s="413"/>
      <c r="B176" s="414" t="s">
        <v>569</v>
      </c>
      <c r="C176" s="414" t="s">
        <v>570</v>
      </c>
      <c r="D176" s="413" t="s">
        <v>453</v>
      </c>
      <c r="E176" s="413">
        <v>12</v>
      </c>
      <c r="F176" s="90">
        <f t="shared" si="63"/>
        <v>33.6</v>
      </c>
      <c r="G176" s="394">
        <f>350*1.2</f>
        <v>420</v>
      </c>
      <c r="H176" s="394">
        <f t="shared" si="64"/>
        <v>403.2</v>
      </c>
      <c r="I176" s="394">
        <f t="shared" si="65"/>
        <v>5040</v>
      </c>
      <c r="J176" s="416">
        <f t="shared" si="66"/>
        <v>403.2</v>
      </c>
      <c r="K176" s="62">
        <f t="shared" si="67"/>
        <v>5040</v>
      </c>
    </row>
    <row r="177" ht="18" customHeight="1" spans="1:11">
      <c r="A177" s="413"/>
      <c r="B177" s="414" t="s">
        <v>574</v>
      </c>
      <c r="C177" s="414" t="s">
        <v>570</v>
      </c>
      <c r="D177" s="413" t="s">
        <v>453</v>
      </c>
      <c r="E177" s="413">
        <v>2</v>
      </c>
      <c r="F177" s="90">
        <f t="shared" si="63"/>
        <v>24.96</v>
      </c>
      <c r="G177" s="394">
        <v>312</v>
      </c>
      <c r="H177" s="394">
        <f t="shared" si="64"/>
        <v>49.92</v>
      </c>
      <c r="I177" s="394">
        <f t="shared" si="65"/>
        <v>624</v>
      </c>
      <c r="J177" s="416">
        <f t="shared" si="66"/>
        <v>49.92</v>
      </c>
      <c r="K177" s="62">
        <f t="shared" si="67"/>
        <v>624</v>
      </c>
    </row>
    <row r="178" ht="18" customHeight="1" spans="1:11">
      <c r="A178" s="413"/>
      <c r="B178" s="414" t="s">
        <v>571</v>
      </c>
      <c r="C178" s="414" t="s">
        <v>572</v>
      </c>
      <c r="D178" s="413" t="s">
        <v>305</v>
      </c>
      <c r="E178" s="413">
        <v>14</v>
      </c>
      <c r="F178" s="90">
        <f t="shared" si="63"/>
        <v>16</v>
      </c>
      <c r="G178" s="394">
        <f>G173</f>
        <v>200</v>
      </c>
      <c r="H178" s="394">
        <f t="shared" si="64"/>
        <v>224</v>
      </c>
      <c r="I178" s="394">
        <f t="shared" si="65"/>
        <v>2800</v>
      </c>
      <c r="J178" s="416">
        <f t="shared" si="66"/>
        <v>224</v>
      </c>
      <c r="K178" s="62">
        <f t="shared" si="67"/>
        <v>2800</v>
      </c>
    </row>
    <row r="179" s="417" customFormat="1" ht="18" customHeight="1" spans="1:11">
      <c r="A179" s="5" t="s">
        <v>577</v>
      </c>
      <c r="B179" s="419" t="s">
        <v>578</v>
      </c>
      <c r="C179" s="420"/>
      <c r="D179" s="421"/>
      <c r="E179" s="421"/>
      <c r="F179" s="5"/>
      <c r="G179" s="395"/>
      <c r="H179" s="395">
        <f>SUM(H180:H189)</f>
        <v>5345</v>
      </c>
      <c r="I179" s="395"/>
      <c r="J179" s="416">
        <f t="shared" ref="J179:J189" si="68">E179*F179</f>
        <v>0</v>
      </c>
      <c r="K179" s="62">
        <f t="shared" si="67"/>
        <v>0</v>
      </c>
    </row>
    <row r="180" ht="18" customHeight="1" spans="1:11">
      <c r="A180" s="7"/>
      <c r="B180" s="11" t="s">
        <v>579</v>
      </c>
      <c r="C180" s="11"/>
      <c r="D180" s="7" t="s">
        <v>336</v>
      </c>
      <c r="E180" s="7">
        <v>1</v>
      </c>
      <c r="F180" s="90">
        <v>200</v>
      </c>
      <c r="G180" s="394"/>
      <c r="H180" s="394">
        <f>E180*F180</f>
        <v>200</v>
      </c>
      <c r="I180" s="394"/>
      <c r="J180" s="416">
        <f t="shared" si="68"/>
        <v>200</v>
      </c>
      <c r="K180" s="62">
        <f t="shared" ref="K180:K189" si="69">E180*G180</f>
        <v>0</v>
      </c>
    </row>
    <row r="181" ht="18" customHeight="1" spans="1:11">
      <c r="A181" s="7"/>
      <c r="B181" s="11" t="s">
        <v>580</v>
      </c>
      <c r="C181" s="11"/>
      <c r="D181" s="7" t="s">
        <v>363</v>
      </c>
      <c r="E181" s="7">
        <v>3</v>
      </c>
      <c r="F181" s="90">
        <v>50</v>
      </c>
      <c r="G181" s="394"/>
      <c r="H181" s="394">
        <f t="shared" ref="H181:H189" si="70">E181*F181</f>
        <v>150</v>
      </c>
      <c r="I181" s="394"/>
      <c r="J181" s="416">
        <f t="shared" si="68"/>
        <v>150</v>
      </c>
      <c r="K181" s="62">
        <f t="shared" si="69"/>
        <v>0</v>
      </c>
    </row>
    <row r="182" ht="18" customHeight="1" spans="1:11">
      <c r="A182" s="7"/>
      <c r="B182" s="11" t="s">
        <v>581</v>
      </c>
      <c r="C182" s="11"/>
      <c r="D182" s="7" t="s">
        <v>363</v>
      </c>
      <c r="E182" s="7">
        <v>6</v>
      </c>
      <c r="F182" s="90">
        <v>20</v>
      </c>
      <c r="G182" s="394"/>
      <c r="H182" s="394">
        <f t="shared" si="70"/>
        <v>120</v>
      </c>
      <c r="I182" s="394"/>
      <c r="J182" s="416">
        <f t="shared" si="68"/>
        <v>120</v>
      </c>
      <c r="K182" s="62">
        <f t="shared" si="69"/>
        <v>0</v>
      </c>
    </row>
    <row r="183" ht="18" customHeight="1" spans="1:11">
      <c r="A183" s="7"/>
      <c r="B183" s="11" t="s">
        <v>582</v>
      </c>
      <c r="C183" s="11"/>
      <c r="D183" s="7" t="s">
        <v>363</v>
      </c>
      <c r="E183" s="7">
        <v>3</v>
      </c>
      <c r="F183" s="90">
        <v>50</v>
      </c>
      <c r="G183" s="394"/>
      <c r="H183" s="394">
        <f t="shared" si="70"/>
        <v>150</v>
      </c>
      <c r="I183" s="394"/>
      <c r="J183" s="416">
        <f t="shared" si="68"/>
        <v>150</v>
      </c>
      <c r="K183" s="62">
        <f t="shared" si="69"/>
        <v>0</v>
      </c>
    </row>
    <row r="184" ht="18" customHeight="1" spans="1:11">
      <c r="A184" s="7"/>
      <c r="B184" s="11" t="s">
        <v>583</v>
      </c>
      <c r="C184" s="11"/>
      <c r="D184" s="7" t="s">
        <v>363</v>
      </c>
      <c r="E184" s="7">
        <v>3</v>
      </c>
      <c r="F184" s="90">
        <v>50</v>
      </c>
      <c r="G184" s="394"/>
      <c r="H184" s="394">
        <f t="shared" si="70"/>
        <v>150</v>
      </c>
      <c r="I184" s="394"/>
      <c r="J184" s="416">
        <f t="shared" si="68"/>
        <v>150</v>
      </c>
      <c r="K184" s="62">
        <f t="shared" si="69"/>
        <v>0</v>
      </c>
    </row>
    <row r="185" ht="18" customHeight="1" spans="1:11">
      <c r="A185" s="7"/>
      <c r="B185" s="11" t="s">
        <v>584</v>
      </c>
      <c r="C185" s="11"/>
      <c r="D185" s="7" t="s">
        <v>363</v>
      </c>
      <c r="E185" s="7">
        <v>45</v>
      </c>
      <c r="F185" s="90">
        <v>30</v>
      </c>
      <c r="G185" s="394"/>
      <c r="H185" s="394">
        <f t="shared" si="70"/>
        <v>1350</v>
      </c>
      <c r="I185" s="394"/>
      <c r="J185" s="416">
        <f t="shared" si="68"/>
        <v>1350</v>
      </c>
      <c r="K185" s="62">
        <f t="shared" si="69"/>
        <v>0</v>
      </c>
    </row>
    <row r="186" ht="18" customHeight="1" spans="1:11">
      <c r="A186" s="7"/>
      <c r="B186" s="11" t="s">
        <v>585</v>
      </c>
      <c r="C186" s="11"/>
      <c r="D186" s="7" t="s">
        <v>363</v>
      </c>
      <c r="E186" s="7"/>
      <c r="F186" s="90">
        <v>30</v>
      </c>
      <c r="G186" s="394"/>
      <c r="H186" s="394">
        <f t="shared" si="70"/>
        <v>0</v>
      </c>
      <c r="I186" s="394"/>
      <c r="J186" s="416">
        <f t="shared" si="68"/>
        <v>0</v>
      </c>
      <c r="K186" s="62">
        <f t="shared" si="69"/>
        <v>0</v>
      </c>
    </row>
    <row r="187" ht="18" customHeight="1" spans="1:11">
      <c r="A187" s="7"/>
      <c r="B187" s="11" t="s">
        <v>586</v>
      </c>
      <c r="C187" s="11"/>
      <c r="D187" s="7" t="s">
        <v>363</v>
      </c>
      <c r="E187" s="7">
        <v>3</v>
      </c>
      <c r="F187" s="90">
        <v>30</v>
      </c>
      <c r="G187" s="394"/>
      <c r="H187" s="394">
        <f t="shared" si="70"/>
        <v>90</v>
      </c>
      <c r="I187" s="395"/>
      <c r="J187" s="416">
        <f t="shared" si="68"/>
        <v>90</v>
      </c>
      <c r="K187" s="62">
        <f t="shared" si="69"/>
        <v>0</v>
      </c>
    </row>
    <row r="188" ht="18" customHeight="1" spans="1:11">
      <c r="A188" s="7"/>
      <c r="B188" s="11" t="s">
        <v>587</v>
      </c>
      <c r="C188" s="11"/>
      <c r="D188" s="7" t="s">
        <v>363</v>
      </c>
      <c r="E188" s="7">
        <v>9</v>
      </c>
      <c r="F188" s="90">
        <v>30</v>
      </c>
      <c r="G188" s="394"/>
      <c r="H188" s="394">
        <f t="shared" si="70"/>
        <v>270</v>
      </c>
      <c r="I188" s="395"/>
      <c r="J188" s="416">
        <f t="shared" si="68"/>
        <v>270</v>
      </c>
      <c r="K188" s="62">
        <f t="shared" si="69"/>
        <v>0</v>
      </c>
    </row>
    <row r="189" ht="18" customHeight="1" spans="1:11">
      <c r="A189" s="7"/>
      <c r="B189" s="11" t="s">
        <v>588</v>
      </c>
      <c r="C189" s="11"/>
      <c r="D189" s="7" t="s">
        <v>589</v>
      </c>
      <c r="E189" s="7">
        <v>573</v>
      </c>
      <c r="F189" s="90">
        <v>5</v>
      </c>
      <c r="G189" s="394"/>
      <c r="H189" s="394">
        <f t="shared" si="70"/>
        <v>2865</v>
      </c>
      <c r="I189" s="395"/>
      <c r="J189" s="416">
        <f t="shared" si="68"/>
        <v>2865</v>
      </c>
      <c r="K189" s="62">
        <f t="shared" si="69"/>
        <v>0</v>
      </c>
    </row>
    <row r="190" ht="18" customHeight="1" spans="1:11">
      <c r="A190" s="341"/>
      <c r="B190" s="422"/>
      <c r="C190" s="422"/>
      <c r="D190" s="341"/>
      <c r="E190" s="341"/>
      <c r="F190" s="423"/>
      <c r="G190" s="424"/>
      <c r="H190" s="424"/>
      <c r="I190" s="427"/>
      <c r="J190" s="416"/>
      <c r="K190" s="62"/>
    </row>
    <row r="191" s="62" customFormat="1" ht="18" customHeight="1" spans="1:9">
      <c r="A191" s="256"/>
      <c r="B191" s="391" t="s">
        <v>108</v>
      </c>
      <c r="C191" s="391"/>
      <c r="D191" s="256"/>
      <c r="E191" s="425"/>
      <c r="F191" s="7"/>
      <c r="G191" s="426"/>
      <c r="H191" s="395">
        <f>H192+H194+H197</f>
        <v>24840</v>
      </c>
      <c r="I191" s="395">
        <f>I192+I194+I197</f>
        <v>0</v>
      </c>
    </row>
    <row r="192" ht="18" customHeight="1" spans="1:9">
      <c r="A192" s="398">
        <v>1</v>
      </c>
      <c r="B192" s="399" t="s">
        <v>450</v>
      </c>
      <c r="C192" s="11"/>
      <c r="D192" s="7"/>
      <c r="E192" s="7"/>
      <c r="F192" s="7"/>
      <c r="G192" s="7"/>
      <c r="H192" s="7">
        <f>SUM(H193:H193)</f>
        <v>9000</v>
      </c>
      <c r="I192" s="7">
        <f>SUM(I193:I193)</f>
        <v>0</v>
      </c>
    </row>
    <row r="193" ht="18" customHeight="1" spans="1:9">
      <c r="A193" s="8"/>
      <c r="B193" s="406" t="s">
        <v>590</v>
      </c>
      <c r="C193" s="406" t="s">
        <v>591</v>
      </c>
      <c r="D193" s="123" t="s">
        <v>200</v>
      </c>
      <c r="E193" s="123">
        <v>1</v>
      </c>
      <c r="F193" s="7">
        <v>9000</v>
      </c>
      <c r="G193" s="7"/>
      <c r="H193" s="7">
        <f>E193*F193</f>
        <v>9000</v>
      </c>
      <c r="I193" s="7"/>
    </row>
    <row r="194" ht="18" customHeight="1" spans="1:9">
      <c r="A194" s="398">
        <v>2</v>
      </c>
      <c r="B194" s="399" t="s">
        <v>480</v>
      </c>
      <c r="C194" s="406"/>
      <c r="D194" s="123"/>
      <c r="E194" s="123"/>
      <c r="F194" s="7"/>
      <c r="G194" s="7"/>
      <c r="H194" s="7">
        <f>H195+H196</f>
        <v>7920</v>
      </c>
      <c r="I194" s="7">
        <f>SUM(I195:I195)</f>
        <v>0</v>
      </c>
    </row>
    <row r="195" ht="18" customHeight="1" spans="1:9">
      <c r="A195" s="8"/>
      <c r="B195" s="406" t="s">
        <v>592</v>
      </c>
      <c r="C195" s="406" t="s">
        <v>591</v>
      </c>
      <c r="D195" s="123" t="s">
        <v>200</v>
      </c>
      <c r="E195" s="123">
        <v>0.63</v>
      </c>
      <c r="F195" s="7">
        <f>F193</f>
        <v>9000</v>
      </c>
      <c r="G195" s="7"/>
      <c r="H195" s="7">
        <f>E195*F195</f>
        <v>5670</v>
      </c>
      <c r="I195" s="7"/>
    </row>
    <row r="196" ht="18" customHeight="1" spans="1:9">
      <c r="A196" s="8"/>
      <c r="B196" s="406" t="s">
        <v>593</v>
      </c>
      <c r="C196" s="406" t="s">
        <v>591</v>
      </c>
      <c r="D196" s="123" t="s">
        <v>200</v>
      </c>
      <c r="E196" s="123">
        <v>0.25</v>
      </c>
      <c r="F196" s="7">
        <f>F195</f>
        <v>9000</v>
      </c>
      <c r="G196" s="7"/>
      <c r="H196" s="7">
        <f>E196*F196</f>
        <v>2250</v>
      </c>
      <c r="I196" s="7"/>
    </row>
    <row r="197" ht="18" customHeight="1" spans="1:9">
      <c r="A197" s="398">
        <v>3</v>
      </c>
      <c r="B197" s="399" t="s">
        <v>493</v>
      </c>
      <c r="C197" s="406"/>
      <c r="D197" s="123"/>
      <c r="E197" s="123"/>
      <c r="F197" s="7"/>
      <c r="G197" s="7"/>
      <c r="H197" s="7">
        <f>H198+H199</f>
        <v>7920</v>
      </c>
      <c r="I197" s="7">
        <f>SUM(I198:I198)</f>
        <v>0</v>
      </c>
    </row>
    <row r="198" ht="18" customHeight="1" spans="1:9">
      <c r="A198" s="8"/>
      <c r="B198" s="406" t="s">
        <v>592</v>
      </c>
      <c r="C198" s="406" t="s">
        <v>591</v>
      </c>
      <c r="D198" s="123" t="s">
        <v>200</v>
      </c>
      <c r="E198" s="123">
        <v>0.63</v>
      </c>
      <c r="F198" s="7">
        <f>F195</f>
        <v>9000</v>
      </c>
      <c r="G198" s="8"/>
      <c r="H198" s="7">
        <f>E198*F198</f>
        <v>5670</v>
      </c>
      <c r="I198" s="8"/>
    </row>
    <row r="199" ht="18" customHeight="1" spans="1:9">
      <c r="A199" s="8"/>
      <c r="B199" s="406" t="s">
        <v>593</v>
      </c>
      <c r="C199" s="406" t="s">
        <v>591</v>
      </c>
      <c r="D199" s="123" t="s">
        <v>200</v>
      </c>
      <c r="E199" s="123">
        <v>0.25</v>
      </c>
      <c r="F199" s="7">
        <f>F196</f>
        <v>9000</v>
      </c>
      <c r="G199" s="8"/>
      <c r="H199" s="7">
        <f>E199*F199</f>
        <v>2250</v>
      </c>
      <c r="I199" s="8"/>
    </row>
    <row r="200" ht="18" customHeight="1" spans="1:9">
      <c r="A200" s="8"/>
      <c r="B200" s="11"/>
      <c r="C200" s="11"/>
      <c r="D200" s="7"/>
      <c r="E200" s="7"/>
      <c r="F200" s="7"/>
      <c r="G200" s="8"/>
      <c r="H200" s="7"/>
      <c r="I200" s="8"/>
    </row>
    <row r="201" ht="18" customHeight="1" spans="1:9">
      <c r="A201" s="8"/>
      <c r="B201" s="11"/>
      <c r="C201" s="11"/>
      <c r="D201" s="7"/>
      <c r="E201" s="7"/>
      <c r="F201" s="7"/>
      <c r="G201" s="8"/>
      <c r="H201" s="7"/>
      <c r="I201" s="8"/>
    </row>
    <row r="202" ht="18" customHeight="1" spans="1:9">
      <c r="A202" s="8"/>
      <c r="B202" s="11"/>
      <c r="C202" s="11"/>
      <c r="D202" s="7"/>
      <c r="E202" s="7"/>
      <c r="F202" s="7"/>
      <c r="G202" s="8"/>
      <c r="H202" s="7"/>
      <c r="I202" s="8"/>
    </row>
    <row r="203" ht="18" customHeight="1" spans="1:9">
      <c r="A203" s="8"/>
      <c r="B203" s="11"/>
      <c r="C203" s="11"/>
      <c r="D203" s="7"/>
      <c r="E203" s="7"/>
      <c r="F203" s="7"/>
      <c r="G203" s="8"/>
      <c r="H203" s="7"/>
      <c r="I203" s="8"/>
    </row>
    <row r="204" ht="18" customHeight="1" spans="1:9">
      <c r="A204" s="8"/>
      <c r="B204" s="11"/>
      <c r="C204" s="11"/>
      <c r="D204" s="7"/>
      <c r="E204" s="7"/>
      <c r="F204" s="7"/>
      <c r="G204" s="8"/>
      <c r="H204" s="7"/>
      <c r="I204" s="8"/>
    </row>
    <row r="205" ht="18" customHeight="1" spans="1:9">
      <c r="A205" s="8"/>
      <c r="B205" s="11"/>
      <c r="C205" s="11"/>
      <c r="D205" s="7"/>
      <c r="E205" s="7"/>
      <c r="F205" s="7"/>
      <c r="G205" s="8"/>
      <c r="H205" s="7"/>
      <c r="I205" s="8"/>
    </row>
    <row r="206" ht="18" customHeight="1" spans="1:9">
      <c r="A206" s="8"/>
      <c r="B206" s="11"/>
      <c r="C206" s="11"/>
      <c r="D206" s="7"/>
      <c r="E206" s="7"/>
      <c r="F206" s="7"/>
      <c r="G206" s="75"/>
      <c r="H206" s="75"/>
      <c r="I206" s="75"/>
    </row>
    <row r="207" ht="18" customHeight="1" spans="1:9">
      <c r="A207" s="8"/>
      <c r="B207" s="11"/>
      <c r="C207" s="11"/>
      <c r="D207" s="7"/>
      <c r="E207" s="7"/>
      <c r="F207" s="7"/>
      <c r="G207" s="75"/>
      <c r="H207" s="75"/>
      <c r="I207" s="75"/>
    </row>
  </sheetData>
  <sheetProtection formatCells="0" insertHyperlinks="0" autoFilter="0"/>
  <mergeCells count="14">
    <mergeCell ref="F3:G3"/>
    <mergeCell ref="H3:I3"/>
    <mergeCell ref="B5:C5"/>
    <mergeCell ref="B165:C165"/>
    <mergeCell ref="B169:C169"/>
    <mergeCell ref="B174:C174"/>
    <mergeCell ref="B179:C179"/>
    <mergeCell ref="B191:C191"/>
    <mergeCell ref="A3:A4"/>
    <mergeCell ref="B3:B4"/>
    <mergeCell ref="C3:C4"/>
    <mergeCell ref="D3:D4"/>
    <mergeCell ref="E3:E4"/>
    <mergeCell ref="A1:I2"/>
  </mergeCells>
  <pageMargins left="0.71" right="0.71" top="0.75" bottom="0.75" header="0.31" footer="0.31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N58"/>
  <sheetViews>
    <sheetView tabSelected="1" workbookViewId="0">
      <selection activeCell="B5" sqref="B5"/>
    </sheetView>
  </sheetViews>
  <sheetFormatPr defaultColWidth="9" defaultRowHeight="14.25"/>
  <cols>
    <col min="2" max="2" width="29.25" customWidth="1"/>
    <col min="3" max="3" width="9.375"/>
    <col min="6" max="6" width="12.625" customWidth="1"/>
    <col min="9" max="9" width="12.625"/>
    <col min="11" max="11" width="12.625"/>
    <col min="14" max="14" width="13.75"/>
  </cols>
  <sheetData>
    <row r="1" ht="20" customHeight="1" spans="1:6">
      <c r="A1" s="501" t="s">
        <v>594</v>
      </c>
      <c r="B1" s="501"/>
      <c r="C1" s="501"/>
      <c r="D1" s="501"/>
      <c r="E1" s="501"/>
      <c r="F1" s="501"/>
    </row>
    <row r="2" ht="20" customHeight="1" spans="1:6">
      <c r="A2" s="502"/>
      <c r="B2" s="502"/>
      <c r="C2" s="502"/>
      <c r="D2" s="502"/>
      <c r="E2" s="502"/>
      <c r="F2" s="503" t="s">
        <v>71</v>
      </c>
    </row>
    <row r="3" ht="24" spans="1:6">
      <c r="A3" s="504" t="s">
        <v>1</v>
      </c>
      <c r="B3" s="504" t="s">
        <v>72</v>
      </c>
      <c r="C3" s="504" t="s">
        <v>117</v>
      </c>
      <c r="D3" s="504" t="s">
        <v>118</v>
      </c>
      <c r="E3" s="504" t="s">
        <v>119</v>
      </c>
      <c r="F3" s="504" t="s">
        <v>106</v>
      </c>
    </row>
    <row r="4" ht="20" customHeight="1" spans="1:14">
      <c r="A4" s="505" t="s">
        <v>120</v>
      </c>
      <c r="B4" s="505"/>
      <c r="C4" s="506">
        <f>SUM(C5:C8)</f>
        <v>623.579531879268</v>
      </c>
      <c r="D4" s="507"/>
      <c r="E4" s="508"/>
      <c r="F4" s="509">
        <f t="shared" ref="F4:F7" si="0">SUM(C4:E4)</f>
        <v>623.579531879268</v>
      </c>
      <c r="I4" s="102">
        <f>F4+'总（城关）'!F4+'总（高庄）'!F4</f>
        <v>2942.51177089212</v>
      </c>
      <c r="K4" s="536">
        <f>总概算核!J4</f>
        <v>2928.24275038753</v>
      </c>
      <c r="N4" s="102">
        <f t="shared" ref="N4:N9" si="1">I4-K4</f>
        <v>14.2690205045897</v>
      </c>
    </row>
    <row r="5" ht="20" customHeight="1" spans="1:14">
      <c r="A5" s="510" t="s">
        <v>34</v>
      </c>
      <c r="B5" s="511" t="str">
        <f>建筑概算核!B7</f>
        <v>生态护岸工程</v>
      </c>
      <c r="C5" s="512">
        <f>'概算（姚伏）'!F7/10000</f>
        <v>29.8330848224739</v>
      </c>
      <c r="D5" s="513"/>
      <c r="E5" s="72"/>
      <c r="F5" s="71">
        <f t="shared" si="0"/>
        <v>29.8330848224739</v>
      </c>
      <c r="I5" s="102">
        <f>F5+'总（城关）'!F5+'总（高庄）'!F5</f>
        <v>1442.76432301095</v>
      </c>
      <c r="K5" s="536">
        <f>总概算核!J5</f>
        <v>1428.49520186145</v>
      </c>
      <c r="N5" s="102">
        <f t="shared" si="1"/>
        <v>14.269121149496</v>
      </c>
    </row>
    <row r="6" ht="20" customHeight="1" spans="1:14">
      <c r="A6" s="510" t="s">
        <v>46</v>
      </c>
      <c r="B6" s="511" t="str">
        <f>建筑概算核!B103</f>
        <v>污染底泥清除</v>
      </c>
      <c r="C6" s="512">
        <f>'概算（姚伏）'!F40/10000</f>
        <v>113.725189817893</v>
      </c>
      <c r="D6" s="513"/>
      <c r="E6" s="72"/>
      <c r="F6" s="71">
        <f t="shared" si="0"/>
        <v>113.725189817893</v>
      </c>
      <c r="I6" s="102">
        <f>F6+'总（城关）'!F6+'总（高庄）'!F6</f>
        <v>307.4796566765</v>
      </c>
      <c r="K6" s="536">
        <f>总概算核!J6</f>
        <v>307.4796566765</v>
      </c>
      <c r="N6" s="102">
        <f t="shared" si="1"/>
        <v>-4.54747350886464e-13</v>
      </c>
    </row>
    <row r="7" ht="20" customHeight="1" spans="1:14">
      <c r="A7" s="510" t="s">
        <v>83</v>
      </c>
      <c r="B7" s="511" t="str">
        <f>建筑概算核!B105</f>
        <v>生态沟渠工程</v>
      </c>
      <c r="C7" s="512">
        <f>'概算（姚伏）'!F42/10000</f>
        <v>274.806978719739</v>
      </c>
      <c r="D7" s="513"/>
      <c r="E7" s="72"/>
      <c r="F7" s="71">
        <f t="shared" si="0"/>
        <v>274.806978719739</v>
      </c>
      <c r="I7" s="102">
        <f>F7+'总（城关）'!F7+'总（高庄）'!F7</f>
        <v>681.641172598899</v>
      </c>
      <c r="K7" s="536">
        <f>总概算核!J7</f>
        <v>681.641273243802</v>
      </c>
      <c r="N7" s="102">
        <f t="shared" si="1"/>
        <v>-0.000100644903000102</v>
      </c>
    </row>
    <row r="8" ht="20" customHeight="1" spans="1:14">
      <c r="A8" s="510" t="s">
        <v>121</v>
      </c>
      <c r="B8" s="511" t="s">
        <v>79</v>
      </c>
      <c r="C8" s="512">
        <f>'概算（姚伏）'!F59/10000</f>
        <v>205.214278519161</v>
      </c>
      <c r="D8" s="513"/>
      <c r="E8" s="72"/>
      <c r="F8" s="71">
        <f>C8</f>
        <v>205.214278519161</v>
      </c>
      <c r="I8" s="102">
        <f>F8+'总（城关）'!F8+'总（高庄）'!F8</f>
        <v>510.626618605774</v>
      </c>
      <c r="K8" s="536">
        <f>总概算核!J8</f>
        <v>510.626618605775</v>
      </c>
      <c r="N8" s="102">
        <f t="shared" si="1"/>
        <v>-9.66338120633736e-13</v>
      </c>
    </row>
    <row r="9" ht="20" customHeight="1" spans="1:14">
      <c r="A9" s="5" t="s">
        <v>122</v>
      </c>
      <c r="B9" s="5"/>
      <c r="C9" s="514">
        <f>SUM(C10:C12)</f>
        <v>2.509172416</v>
      </c>
      <c r="D9" s="514">
        <f>SUM(D10:D12)</f>
        <v>24.2663865011584</v>
      </c>
      <c r="E9" s="514"/>
      <c r="F9" s="509">
        <f t="shared" ref="F9:F13" si="2">C9+D9</f>
        <v>26.7755589171584</v>
      </c>
      <c r="I9" s="102">
        <f>F9+'总（城关）'!F9+'总（高庄）'!F9</f>
        <v>78.1947880364752</v>
      </c>
      <c r="K9" s="536">
        <f>总概算核!J9</f>
        <v>75.8872470364752</v>
      </c>
      <c r="N9" s="102">
        <f t="shared" si="1"/>
        <v>2.307541</v>
      </c>
    </row>
    <row r="10" ht="20" customHeight="1" spans="1:11">
      <c r="A10" s="7" t="s">
        <v>34</v>
      </c>
      <c r="B10" s="11" t="str">
        <f>安装概算核!B6</f>
        <v>水机设备及安装工程</v>
      </c>
      <c r="C10" s="515">
        <f>'安装（姚伏）'!H6/10000</f>
        <v>0.90035</v>
      </c>
      <c r="D10" s="515">
        <f>'安装（姚伏）'!I6/10000</f>
        <v>9.765830615</v>
      </c>
      <c r="E10" s="515"/>
      <c r="F10" s="71">
        <f t="shared" si="2"/>
        <v>10.666180615</v>
      </c>
      <c r="I10" s="102"/>
      <c r="K10" s="536"/>
    </row>
    <row r="11" ht="20" customHeight="1" spans="1:11">
      <c r="A11" s="7" t="s">
        <v>46</v>
      </c>
      <c r="B11" s="11" t="str">
        <f>安装概算核!B64</f>
        <v>电气设备及安装工程</v>
      </c>
      <c r="C11" s="515">
        <f>'安装（姚伏）'!H28/10000</f>
        <v>0.756462416</v>
      </c>
      <c r="D11" s="515">
        <f>'安装（姚伏）'!I28/10000</f>
        <v>8.2585558861584</v>
      </c>
      <c r="E11" s="515"/>
      <c r="F11" s="71">
        <f t="shared" si="2"/>
        <v>9.0150183021584</v>
      </c>
      <c r="I11" s="102"/>
      <c r="K11" s="536"/>
    </row>
    <row r="12" ht="20" customHeight="1" spans="1:11">
      <c r="A12" s="7" t="s">
        <v>83</v>
      </c>
      <c r="B12" s="11" t="str">
        <f>安装概算核!B126</f>
        <v>自动化工程</v>
      </c>
      <c r="C12" s="515">
        <f>'安装（姚伏）'!H51/10000</f>
        <v>0.85236</v>
      </c>
      <c r="D12" s="515">
        <f>'安装（姚伏）'!I51/10000</f>
        <v>6.242</v>
      </c>
      <c r="E12" s="515"/>
      <c r="F12" s="71">
        <f t="shared" si="2"/>
        <v>7.09436</v>
      </c>
      <c r="I12" s="102"/>
      <c r="K12" s="536"/>
    </row>
    <row r="13" ht="20" customHeight="1" spans="1:14">
      <c r="A13" s="5" t="s">
        <v>85</v>
      </c>
      <c r="B13" s="5"/>
      <c r="C13" s="514">
        <f>'安装（姚伏）'!H84/10000</f>
        <v>0.9</v>
      </c>
      <c r="D13" s="514"/>
      <c r="E13" s="514"/>
      <c r="F13" s="509">
        <f t="shared" si="2"/>
        <v>0.9</v>
      </c>
      <c r="I13" s="102">
        <f>F13+'总（城关）'!F13+'总（高庄）'!F13</f>
        <v>2.484</v>
      </c>
      <c r="K13" s="536">
        <f>总概算核!J13</f>
        <v>2.484</v>
      </c>
      <c r="N13">
        <f>I13-K13</f>
        <v>0</v>
      </c>
    </row>
    <row r="14" ht="20" customHeight="1" spans="1:11">
      <c r="A14" s="5" t="s">
        <v>86</v>
      </c>
      <c r="B14" s="5"/>
      <c r="C14" s="514">
        <f>C4+C9+C13</f>
        <v>626.988704295268</v>
      </c>
      <c r="D14" s="514">
        <f>D4+D9+D13</f>
        <v>24.2663865011584</v>
      </c>
      <c r="E14" s="516"/>
      <c r="F14" s="509">
        <f t="shared" ref="F14:F24" si="3">SUM(C14:E14)</f>
        <v>651.255090796426</v>
      </c>
      <c r="I14" s="102"/>
      <c r="K14" s="536"/>
    </row>
    <row r="15" ht="20" customHeight="1" spans="1:14">
      <c r="A15" s="5" t="s">
        <v>87</v>
      </c>
      <c r="B15" s="5"/>
      <c r="C15" s="277">
        <f>'概算（姚伏）'!F159/10000</f>
        <v>28.7897444867118</v>
      </c>
      <c r="D15" s="5"/>
      <c r="E15" s="5"/>
      <c r="F15" s="509">
        <f t="shared" si="3"/>
        <v>28.7897444867118</v>
      </c>
      <c r="I15" s="102">
        <f>F15+'总（城关）'!F15+'总（高庄）'!F15</f>
        <v>128.492788767026</v>
      </c>
      <c r="K15" s="536">
        <f>总概算核!J15</f>
        <v>124.233479875206</v>
      </c>
      <c r="N15" s="102">
        <f>K15-I15</f>
        <v>-4.25930889182001</v>
      </c>
    </row>
    <row r="16" ht="20" customHeight="1" spans="1:14">
      <c r="A16" s="5" t="s">
        <v>88</v>
      </c>
      <c r="B16" s="5"/>
      <c r="C16" s="277">
        <f>C14+C15</f>
        <v>655.77844878198</v>
      </c>
      <c r="D16" s="277">
        <f>D14+D15</f>
        <v>24.2663865011584</v>
      </c>
      <c r="E16" s="5"/>
      <c r="F16" s="509">
        <f t="shared" si="3"/>
        <v>680.044835283138</v>
      </c>
      <c r="I16" s="102"/>
      <c r="K16" s="536"/>
      <c r="N16" s="102"/>
    </row>
    <row r="17" ht="20" customHeight="1" spans="1:14">
      <c r="A17" s="5" t="s">
        <v>89</v>
      </c>
      <c r="B17" s="5"/>
      <c r="C17" s="277"/>
      <c r="D17" s="5"/>
      <c r="E17" s="277">
        <f>E18+E19+E20+E21</f>
        <v>100.122387736946</v>
      </c>
      <c r="F17" s="509">
        <f t="shared" si="3"/>
        <v>100.122387736946</v>
      </c>
      <c r="I17" s="102">
        <f>F17+'总（城关）'!F17+'总（高庄）'!F17</f>
        <v>439.711929881768</v>
      </c>
      <c r="K17" s="536">
        <f>总概算核!J17</f>
        <v>401.924619699211</v>
      </c>
      <c r="N17" s="102">
        <f>I17-K17</f>
        <v>37.7873101825568</v>
      </c>
    </row>
    <row r="18" ht="20" customHeight="1" spans="1:11">
      <c r="A18" s="67" t="s">
        <v>34</v>
      </c>
      <c r="B18" s="11" t="s">
        <v>123</v>
      </c>
      <c r="C18" s="7"/>
      <c r="D18" s="7"/>
      <c r="E18" s="69">
        <f>'概算（姚伏）'!F181</f>
        <v>29.8572696742024</v>
      </c>
      <c r="F18" s="71">
        <f t="shared" si="3"/>
        <v>29.8572696742024</v>
      </c>
      <c r="K18" s="536"/>
    </row>
    <row r="19" ht="20" customHeight="1" spans="1:6">
      <c r="A19" s="67" t="s">
        <v>46</v>
      </c>
      <c r="B19" s="11" t="s">
        <v>124</v>
      </c>
      <c r="C19" s="7"/>
      <c r="D19" s="7"/>
      <c r="E19" s="69">
        <f>'概算（姚伏）'!F182</f>
        <v>16.3688729325715</v>
      </c>
      <c r="F19" s="71">
        <f t="shared" si="3"/>
        <v>16.3688729325715</v>
      </c>
    </row>
    <row r="20" ht="20" customHeight="1" spans="1:6">
      <c r="A20" s="67" t="s">
        <v>83</v>
      </c>
      <c r="B20" s="11" t="s">
        <v>125</v>
      </c>
      <c r="C20" s="7"/>
      <c r="D20" s="7"/>
      <c r="E20" s="69">
        <f>'概算（姚伏）'!F183</f>
        <v>34.2228916667129</v>
      </c>
      <c r="F20" s="71">
        <f t="shared" si="3"/>
        <v>34.2228916667129</v>
      </c>
    </row>
    <row r="21" ht="20" customHeight="1" spans="1:6">
      <c r="A21" s="67" t="s">
        <v>121</v>
      </c>
      <c r="B21" s="11" t="s">
        <v>126</v>
      </c>
      <c r="C21" s="7"/>
      <c r="D21" s="7"/>
      <c r="E21" s="69">
        <f>SUM(E22:E23)</f>
        <v>19.6733534634594</v>
      </c>
      <c r="F21" s="71">
        <f t="shared" si="3"/>
        <v>19.6733534634594</v>
      </c>
    </row>
    <row r="22" ht="20" customHeight="1" spans="1:6">
      <c r="A22" s="67">
        <v>1</v>
      </c>
      <c r="B22" s="11" t="s">
        <v>127</v>
      </c>
      <c r="C22" s="7"/>
      <c r="D22" s="7"/>
      <c r="E22" s="69">
        <f>'概算（姚伏）'!F187</f>
        <v>16.3944612195495</v>
      </c>
      <c r="F22" s="71">
        <f t="shared" si="3"/>
        <v>16.3944612195495</v>
      </c>
    </row>
    <row r="23" ht="20" customHeight="1" spans="1:6">
      <c r="A23" s="67">
        <v>2</v>
      </c>
      <c r="B23" s="11" t="s">
        <v>128</v>
      </c>
      <c r="C23" s="7"/>
      <c r="D23" s="7"/>
      <c r="E23" s="69">
        <f>'概算（姚伏）'!F188</f>
        <v>3.2788922439099</v>
      </c>
      <c r="F23" s="71">
        <f t="shared" si="3"/>
        <v>3.2788922439099</v>
      </c>
    </row>
    <row r="24" ht="20" customHeight="1" spans="1:6">
      <c r="A24" s="5" t="s">
        <v>90</v>
      </c>
      <c r="B24" s="5"/>
      <c r="C24" s="276">
        <f t="shared" ref="C24:E24" si="4">C16+C17</f>
        <v>655.77844878198</v>
      </c>
      <c r="D24" s="276">
        <f t="shared" si="4"/>
        <v>24.2663865011584</v>
      </c>
      <c r="E24" s="276">
        <f t="shared" si="4"/>
        <v>100.122387736946</v>
      </c>
      <c r="F24" s="509">
        <f t="shared" si="3"/>
        <v>780.167223020084</v>
      </c>
    </row>
    <row r="25" ht="20" customHeight="1" spans="1:6">
      <c r="A25" s="517"/>
      <c r="B25" s="391" t="s">
        <v>91</v>
      </c>
      <c r="C25" s="276"/>
      <c r="D25" s="518"/>
      <c r="E25" s="276"/>
      <c r="F25" s="276">
        <f>F24*0.03</f>
        <v>23.4050166906025</v>
      </c>
    </row>
    <row r="26" ht="20" customHeight="1" spans="1:14">
      <c r="A26" s="517" t="s">
        <v>92</v>
      </c>
      <c r="B26" s="391" t="s">
        <v>129</v>
      </c>
      <c r="C26" s="468"/>
      <c r="D26" s="468"/>
      <c r="E26" s="5"/>
      <c r="F26" s="276">
        <f>F24+F25</f>
        <v>803.572239710687</v>
      </c>
      <c r="I26" s="102">
        <f>F26+'总（城关）'!F26+'总（高庄）'!F26</f>
        <v>3699.13713590471</v>
      </c>
      <c r="J26" s="102"/>
      <c r="K26" s="102">
        <f>总概算核!J26</f>
        <v>3638.75525990837</v>
      </c>
      <c r="L26" s="102"/>
      <c r="M26" s="102"/>
      <c r="N26" s="102">
        <f>I26-K26</f>
        <v>60.3818759963387</v>
      </c>
    </row>
    <row r="27" ht="20" customHeight="1" spans="1:14">
      <c r="A27" s="519" t="s">
        <v>94</v>
      </c>
      <c r="B27" s="520" t="s">
        <v>95</v>
      </c>
      <c r="C27" s="519"/>
      <c r="D27" s="519"/>
      <c r="E27" s="519"/>
      <c r="F27" s="276">
        <f>F28+F30+F32+F33</f>
        <v>14.91</v>
      </c>
      <c r="I27" s="102">
        <f>F27+'总（城关）'!F27+'总（高庄）'!F27</f>
        <v>57.29</v>
      </c>
      <c r="J27" s="102"/>
      <c r="K27" s="102">
        <f>总概算核!J27</f>
        <v>56.525</v>
      </c>
      <c r="L27" s="102"/>
      <c r="M27" s="102"/>
      <c r="N27" s="102"/>
    </row>
    <row r="28" ht="20" customHeight="1" spans="1:6">
      <c r="A28" s="521" t="s">
        <v>34</v>
      </c>
      <c r="B28" s="441" t="s">
        <v>130</v>
      </c>
      <c r="C28" s="519"/>
      <c r="D28" s="519"/>
      <c r="E28" s="519"/>
      <c r="F28" s="34">
        <v>6.57</v>
      </c>
    </row>
    <row r="29" ht="20" customHeight="1" spans="1:6">
      <c r="A29" s="521" t="s">
        <v>46</v>
      </c>
      <c r="B29" s="441" t="s">
        <v>131</v>
      </c>
      <c r="C29" s="519"/>
      <c r="D29" s="519"/>
      <c r="E29" s="519"/>
      <c r="F29" s="34"/>
    </row>
    <row r="30" ht="20" customHeight="1" spans="1:6">
      <c r="A30" s="521" t="s">
        <v>83</v>
      </c>
      <c r="B30" s="441" t="s">
        <v>132</v>
      </c>
      <c r="C30" s="519"/>
      <c r="D30" s="519"/>
      <c r="E30" s="519"/>
      <c r="F30" s="34">
        <v>0.73</v>
      </c>
    </row>
    <row r="31" ht="20" customHeight="1" spans="1:6">
      <c r="A31" s="519"/>
      <c r="B31" s="441" t="s">
        <v>133</v>
      </c>
      <c r="C31" s="519"/>
      <c r="D31" s="519"/>
      <c r="E31" s="519"/>
      <c r="F31" s="34">
        <v>0.2</v>
      </c>
    </row>
    <row r="32" ht="20" customHeight="1" spans="1:6">
      <c r="A32" s="246" t="s">
        <v>121</v>
      </c>
      <c r="B32" s="441" t="s">
        <v>134</v>
      </c>
      <c r="C32" s="519"/>
      <c r="D32" s="519"/>
      <c r="E32" s="519"/>
      <c r="F32" s="34">
        <v>0.73</v>
      </c>
    </row>
    <row r="33" ht="20" customHeight="1" spans="1:6">
      <c r="A33" s="246" t="s">
        <v>135</v>
      </c>
      <c r="B33" s="441" t="s">
        <v>136</v>
      </c>
      <c r="C33" s="519"/>
      <c r="D33" s="519"/>
      <c r="E33" s="519"/>
      <c r="F33" s="34">
        <v>6.88</v>
      </c>
    </row>
    <row r="34" ht="20" customHeight="1" spans="1:11">
      <c r="A34" s="519" t="s">
        <v>96</v>
      </c>
      <c r="B34" s="522" t="s">
        <v>99</v>
      </c>
      <c r="C34" s="519"/>
      <c r="D34" s="519"/>
      <c r="E34" s="519"/>
      <c r="F34" s="276">
        <f>F35+F36+F37+F38+F41</f>
        <v>17.23</v>
      </c>
      <c r="I34">
        <f>F34+'总（城关）'!F34+'总（高庄）'!F34</f>
        <v>50.01</v>
      </c>
      <c r="K34">
        <f>总概算核!J34</f>
        <v>34.57</v>
      </c>
    </row>
    <row r="35" ht="20" customHeight="1" spans="1:6">
      <c r="A35" s="519" t="s">
        <v>34</v>
      </c>
      <c r="B35" s="523" t="s">
        <v>137</v>
      </c>
      <c r="C35" s="519"/>
      <c r="D35" s="519"/>
      <c r="E35" s="519"/>
      <c r="F35" s="34">
        <v>4.44</v>
      </c>
    </row>
    <row r="36" ht="20" customHeight="1" spans="1:6">
      <c r="A36" s="519" t="s">
        <v>46</v>
      </c>
      <c r="B36" s="523" t="s">
        <v>138</v>
      </c>
      <c r="C36" s="519"/>
      <c r="D36" s="519"/>
      <c r="E36" s="519"/>
      <c r="F36" s="34">
        <v>2.14</v>
      </c>
    </row>
    <row r="37" ht="20" customHeight="1" spans="1:6">
      <c r="A37" s="519" t="s">
        <v>83</v>
      </c>
      <c r="B37" s="523" t="s">
        <v>139</v>
      </c>
      <c r="C37" s="519"/>
      <c r="D37" s="519"/>
      <c r="E37" s="519"/>
      <c r="F37" s="34">
        <v>1.66</v>
      </c>
    </row>
    <row r="38" ht="20" customHeight="1" spans="1:6">
      <c r="A38" s="246" t="s">
        <v>121</v>
      </c>
      <c r="B38" s="523" t="s">
        <v>140</v>
      </c>
      <c r="C38" s="519"/>
      <c r="D38" s="519"/>
      <c r="E38" s="519"/>
      <c r="F38" s="34">
        <v>8.49</v>
      </c>
    </row>
    <row r="39" ht="20" customHeight="1" spans="1:6">
      <c r="A39" s="519"/>
      <c r="B39" s="461" t="s">
        <v>141</v>
      </c>
      <c r="C39" s="519"/>
      <c r="D39" s="519"/>
      <c r="E39" s="519"/>
      <c r="F39" s="34">
        <v>3</v>
      </c>
    </row>
    <row r="40" ht="20" customHeight="1" spans="1:6">
      <c r="A40" s="519"/>
      <c r="B40" s="461" t="s">
        <v>142</v>
      </c>
      <c r="C40" s="519"/>
      <c r="D40" s="519"/>
      <c r="E40" s="519"/>
      <c r="F40" s="34">
        <v>0.33</v>
      </c>
    </row>
    <row r="41" ht="20" customHeight="1" spans="1:6">
      <c r="A41" s="246" t="s">
        <v>135</v>
      </c>
      <c r="B41" s="523" t="s">
        <v>91</v>
      </c>
      <c r="C41" s="519"/>
      <c r="D41" s="519"/>
      <c r="E41" s="519"/>
      <c r="F41" s="34">
        <v>0.5</v>
      </c>
    </row>
    <row r="42" ht="20" customHeight="1" spans="1:6">
      <c r="A42" s="246" t="s">
        <v>143</v>
      </c>
      <c r="B42" s="441" t="s">
        <v>144</v>
      </c>
      <c r="C42" s="519"/>
      <c r="D42" s="519"/>
      <c r="E42" s="519"/>
      <c r="F42" s="34"/>
    </row>
    <row r="43" ht="20" customHeight="1" spans="1:6">
      <c r="A43" s="519" t="s">
        <v>98</v>
      </c>
      <c r="B43" s="522" t="s">
        <v>101</v>
      </c>
      <c r="C43" s="519"/>
      <c r="D43" s="519"/>
      <c r="E43" s="519"/>
      <c r="F43" s="276">
        <f>F45+F46+F47+F49</f>
        <v>11.92</v>
      </c>
    </row>
    <row r="44" ht="20" customHeight="1" spans="1:6">
      <c r="A44" s="524" t="s">
        <v>34</v>
      </c>
      <c r="B44" s="525" t="s">
        <v>145</v>
      </c>
      <c r="C44" s="519"/>
      <c r="D44" s="519"/>
      <c r="E44" s="519"/>
      <c r="F44" s="34"/>
    </row>
    <row r="45" ht="20" customHeight="1" spans="1:6">
      <c r="A45" s="524" t="s">
        <v>46</v>
      </c>
      <c r="B45" s="525" t="s">
        <v>146</v>
      </c>
      <c r="C45" s="519"/>
      <c r="D45" s="519"/>
      <c r="E45" s="519"/>
      <c r="F45" s="34">
        <v>0.2</v>
      </c>
    </row>
    <row r="46" ht="20" customHeight="1" spans="1:6">
      <c r="A46" s="524" t="s">
        <v>83</v>
      </c>
      <c r="B46" s="525" t="s">
        <v>147</v>
      </c>
      <c r="C46" s="519"/>
      <c r="D46" s="519"/>
      <c r="E46" s="519"/>
      <c r="F46" s="34">
        <v>6.28</v>
      </c>
    </row>
    <row r="47" ht="20" customHeight="1" spans="1:6">
      <c r="A47" s="524" t="s">
        <v>121</v>
      </c>
      <c r="B47" s="525" t="s">
        <v>148</v>
      </c>
      <c r="C47" s="519"/>
      <c r="D47" s="519"/>
      <c r="E47" s="519"/>
      <c r="F47" s="34">
        <v>4.87</v>
      </c>
    </row>
    <row r="48" ht="20" customHeight="1" spans="1:6">
      <c r="A48" s="524"/>
      <c r="B48" s="525" t="s">
        <v>149</v>
      </c>
      <c r="C48" s="519"/>
      <c r="D48" s="519"/>
      <c r="E48" s="519"/>
      <c r="F48" s="34">
        <v>3.19</v>
      </c>
    </row>
    <row r="49" ht="20" customHeight="1" spans="1:6">
      <c r="A49" s="524" t="s">
        <v>135</v>
      </c>
      <c r="B49" s="525" t="s">
        <v>91</v>
      </c>
      <c r="C49" s="519"/>
      <c r="D49" s="519"/>
      <c r="E49" s="519"/>
      <c r="F49" s="34">
        <v>0.57</v>
      </c>
    </row>
    <row r="50" ht="20" customHeight="1" spans="1:9">
      <c r="A50" s="5" t="s">
        <v>100</v>
      </c>
      <c r="B50" s="520" t="s">
        <v>97</v>
      </c>
      <c r="C50" s="519"/>
      <c r="D50" s="519"/>
      <c r="E50" s="519"/>
      <c r="F50" s="276">
        <f>F52+F54+F56</f>
        <v>20.42</v>
      </c>
      <c r="I50">
        <f>F50+'总（城关）'!F50+'总（高庄）'!F50</f>
        <v>34.38</v>
      </c>
    </row>
    <row r="51" ht="20" customHeight="1" spans="1:6">
      <c r="A51" s="524" t="s">
        <v>34</v>
      </c>
      <c r="B51" s="525" t="s">
        <v>150</v>
      </c>
      <c r="C51" s="519"/>
      <c r="D51" s="519"/>
      <c r="E51" s="519"/>
      <c r="F51" s="34"/>
    </row>
    <row r="52" ht="20" customHeight="1" spans="1:6">
      <c r="A52" s="524" t="s">
        <v>46</v>
      </c>
      <c r="B52" s="525" t="s">
        <v>151</v>
      </c>
      <c r="C52" s="519"/>
      <c r="D52" s="519"/>
      <c r="E52" s="519"/>
      <c r="F52" s="34">
        <v>17.44</v>
      </c>
    </row>
    <row r="53" ht="20" customHeight="1" spans="1:6">
      <c r="A53" s="7" t="s">
        <v>83</v>
      </c>
      <c r="B53" s="11" t="s">
        <v>152</v>
      </c>
      <c r="C53" s="519"/>
      <c r="D53" s="519"/>
      <c r="E53" s="519"/>
      <c r="F53" s="34"/>
    </row>
    <row r="54" ht="20" customHeight="1" spans="1:6">
      <c r="A54" s="7" t="s">
        <v>121</v>
      </c>
      <c r="B54" s="11" t="s">
        <v>153</v>
      </c>
      <c r="C54" s="519"/>
      <c r="D54" s="519"/>
      <c r="E54" s="519"/>
      <c r="F54" s="34">
        <v>2.58</v>
      </c>
    </row>
    <row r="55" ht="20" customHeight="1" spans="1:6">
      <c r="A55" s="7"/>
      <c r="B55" s="11" t="s">
        <v>154</v>
      </c>
      <c r="C55" s="519"/>
      <c r="D55" s="519"/>
      <c r="E55" s="519"/>
      <c r="F55" s="34">
        <v>1.75</v>
      </c>
    </row>
    <row r="56" ht="20" customHeight="1" spans="1:6">
      <c r="A56" s="7" t="s">
        <v>135</v>
      </c>
      <c r="B56" s="11" t="s">
        <v>155</v>
      </c>
      <c r="C56" s="519"/>
      <c r="D56" s="519"/>
      <c r="E56" s="519"/>
      <c r="F56" s="34">
        <v>0.4</v>
      </c>
    </row>
    <row r="57" ht="20" customHeight="1" spans="1:14">
      <c r="A57" s="526"/>
      <c r="B57" s="522" t="s">
        <v>156</v>
      </c>
      <c r="C57" s="519"/>
      <c r="D57" s="519"/>
      <c r="E57" s="519"/>
      <c r="F57" s="527">
        <f>F26+F27+F34+F43+F50</f>
        <v>868.052239710687</v>
      </c>
      <c r="I57" s="102">
        <f>F57+'总（城关）'!F57+'总（高庄）'!F57</f>
        <v>3884.28713590471</v>
      </c>
      <c r="J57" s="102"/>
      <c r="K57" s="102">
        <f>总概算核!J57</f>
        <v>3817.72025990837</v>
      </c>
      <c r="L57" s="102"/>
      <c r="M57" s="102"/>
      <c r="N57" s="102">
        <f>I57-K57</f>
        <v>66.5668759963378</v>
      </c>
    </row>
    <row r="58" ht="20" customHeight="1"/>
  </sheetData>
  <mergeCells count="9">
    <mergeCell ref="A1:F1"/>
    <mergeCell ref="A4:B4"/>
    <mergeCell ref="A9:B9"/>
    <mergeCell ref="A13:B13"/>
    <mergeCell ref="A14:B14"/>
    <mergeCell ref="A15:B15"/>
    <mergeCell ref="A16:B16"/>
    <mergeCell ref="A17:B17"/>
    <mergeCell ref="A24:B24"/>
  </mergeCells>
  <pageMargins left="0.751388888888889" right="0.751388888888889" top="1" bottom="1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1 5 9 0 " > < c o m m e n t   s : r e f = " C 1 0 "   r g b C l r = " F F 0 0 0 0 " > < i t e m   i d = " { 2 9 6 7 8 d 8 0 - c b d 7 - 4 b 8 4 - b 2 c 0 - 5 3 3 9 e d c 9 0 2 f d } "   i s N o r m a l = " 1 " > < s : t e x t > < s : r > < s : t   x m l : s p a c e = " p r e s e r v e " > 2 0 0 2 �����e�NP 8 9 h�D�h��N< / s : t > < / s : r > < / s : t e x t > < / i t e m > < / c o m m e n t > < c o m m e n t   s : r e f = " C 1 2 "   r g b C l r = " F F 0 0 0 0 " > < i t e m   i d = " { 1 a 8 8 a 9 a 5 - a b b 9 - 4 c 0 2 - 9 1 c 4 - 6 8 5 2 1 4 1 5 5 4 1 d } "   i s N o r m a l = " 1 " > < s : t e x t > < s : r > < s : t   x m l : s p a c e = " p r e s e r v e " > 2 0 0 2 �����e�NP 7 6 �l���Q�[	�< / s : t > < / s : r > < / s : t e x t > < / i t e m > < / c o m m e n t > < c o m m e n t   s : r e f = " C 1 4 "   r g b C l r = " F F 0 0 0 0 " > < i t e m   i d = " { 6 4 6 a b 2 2 7 - 2 d f 4 - 4 9 d c - b 1 e e - 5 0 6 a 4 c b 8 5 d 7 0 } "   i s N o r m a l = " 1 " > < s : t e x t > < s : r > < s : t   x m l : s p a c e = " p r e s e r v e " > 2 0 0 2 �����e�NP 3 9 h�1 0 . 2 - 1 < / s : t > < / s : r > < / s : t e x t > < / i t e m > < / c o m m e n t > < c o m m e n t   s : r e f = " C 1 8 "   r g b C l r = " F F 0 0 0 0 " > < i t e m   i d = " { 0 2 a 7 6 8 c d - 8 b d 7 - 4 0 7 a - a d 6 8 - c 0 d 4 f 4 7 c 4 4 1 3 } "   i s N o r m a l = " 1 " > < s : t e x t > < s : r > < s : t   x m l : s p a c e = " p r e s e r v e " > 2 0 0 2 �����e�NP 3 9 h�1 0 . 1 . 6 �1 5 % - 2 0 % 	�< / s : t > < / s : r > < / s : t e x t > < / i t e m > < / c o m m e n t > < c o m m e n t   s : r e f = " C 2 2 "   r g b C l r = " F F 0 0 0 0 " > < i t e m   i d = " { 0 b 8 5 3 7 d a - 1 9 b 4 - 4 3 3 1 - 8 2 1 5 - b 1 1 7 1 c b a 3 2 f 2 } "   i s N o r m a l = " 1 " > < s : t e x t > < s : r > < s : t   x m l : s p a c e = " p r e s e r v e " > 6��k�|pe	c�V�[�S9e�Y0�^���sQ�N�S^
04l)R04l5u05u�R�^��y��vMRg�]\O�]z�R�[6e9��fL�ĉ�[0�v��w�S9e�N<h02 0 0 6 01 3 5 2 �S  P 1 < / s : t > < / s : r > < / s : t e x t > < / i t e m > < / c o m m e n t > < c o m m e n t   s : r e f = " C 2 4 "   r g b C l r = " F F 0 0 0 0 " > < i t e m   i d = " { 0 5 9 2 f 3 8 5 - 7 6 7 6 - 4 4 6 4 - 9 2 8 1 - 3 f 8 5 9 0 d 1 4 4 c 7 } "   i s N o r m a l = " 1 " > < s : t e x t > < s : r > < s : t   x m l : s p a c e = " p r e s e r v e " > 2 0 0 2 �����e�NP 3 9 h�1 0 . 1 . 6 �1 5 % - 2 0 % 	�< / s : t > < / s : r > < / s : t e x t > < / i t e m > < / c o m m e n t > < c o m m e n t   s : r e f = " C 2 5 "   r g b C l r = " F F 0 0 0 0 " > < i t e m   i d = " { f 4 a 5 4 6 7 c - 8 6 a 0 - 4 7 1 6 - b 5 7 b - 6 b f 0 0 9 5 0 3 7 6 3 } "   i s N o r m a l = " 1 " > < s : t e x t > < s : r > < s : t   x m l : s p a c e = " p r e s e r v e " > 
0y��vMRg�R�[6e9�002 0 0 6 01 3 5 2 �S  P 4   ,{Nag  `SMRg�RKm9�(u�v3 0 - 4 0 % < / s : t > < / s : r > < / s : t e x t > < / i t e m > < / c o m m e n t > < c o m m e n t   s : r e f = " C 4 0 "   r g b C l r = " F F 0 0 0 0 " > < i t e m   i d = " { c b d c 2 b 7 3 - 6 c 0 b - 4 3 0 0 - 8 b b 3 - c e 3 0 6 6 c 1 6 6 c 6 } "   i s N o r m a l = " 1 " > < s : t e x t > < s : r > < s : t   x m l : s p a c e = " p r e s e r v e " > 2 0 0 2 �����e�NP 3 9 h�1 0 . 2 - 2 < / s : t > < / s : r > < / s : t e x t > < / i t e m > < / c o m m e n t > < c o m m e n t   s : r e f = " C 4 4 "   r g b C l r = " F F 0 0 0 0 " > < i t e m   i d = " { 3 b 2 2 d a b 5 - 3 f 4 f - 4 a e 4 - 9 8 8 c - 2 e e a 5 5 3 0 b c e 2 } "   i s N o r m a l = " 1 " > < s : t e x t > < s : r > < s : t   x m l : s p a c e = " p r e s e r v e " > 2 0 0 2 �����e�NP 3 9 h�1 0 . 2 - 1 < / s : t > < / s : r > < / s : t e x t > < / i t e m > < / c o m m e n t > < c o m m e n t   s : r e f = " C 4 8 "   r g b C l r = " F F 0 0 0 0 " > < i t e m   i d = " { 7 6 8 d 2 0 8 4 - 4 4 0 f - 4 d 3 b - b f d b - 0 d e 6 e c 9 0 7 1 1 b } "   i s N o r m a l = " 1 " > < s : t e x t > < s : r > < s : t   x m l : s p a c e = " p r e s e r v e " > 2 0 0 2 �����e�NP 3 9 h�1 0 . 1 . 6 �1 5 % - 2 0 % 	�< / s : t > < / s : r > < / s : t e x t > < / i t e m > < / c o m m e n t > < c o m m e n t   s : r e f = " C 5 6 "   r g b C l r = " F F 0 0 0 0 " > < i t e m   i d = " { 1 a 7 3 9 4 0 4 - 4 9 9 1 - 4 2 6 b - 9 a c 3 - c 5 a 2 8 a b 0 5 6 f a } "   i s N o r m a l = " 1 " > < s : t e x t > < s : r > < s : t   x m l : s p a c e = " p r e s e r v e " > 
0y��vMRg�R�[6e9�002 0 0 6 01 3 5 2 �S  P 2   h�3  
 < / s : t > < / s : r > < / s : t e x t > < / i t e m > < / c o m m e n t > < c o m m e n t   s : r e f = " C 5 7 "   r g b C l r = " F F 0 0 0 0 " > < i t e m   i d = " { 4 a f c 6 8 9 a - d b 3 b - 4 2 a c - 9 9 9 b - 5 a 1 f f 4 2 7 b 9 1 8 } "   i s N o r m a l = " 1 " > < s : t e x t > < s : r > < s : t   x m l : s p a c e = " p r e s e r v e " > 
0y��vMRg�R�[6e9�002 0 0 6 01 3 5 2 �S  P 2   h�4 < / s : t > < / s : r > < / s : t e x t > < / i t e m > < / c o m m e n t > < c o m m e n t   s : r e f = " C 5 8 "   r g b C l r = " F F 0 0 0 0 " > < i t e m   i d = " { 3 7 7 b b f 8 2 - 5 8 b c - 4 9 9 f - 9 e a 3 - 9 5 6 7 d 6 c c 7 9 5 5 } "   i s N o r m a l = " 1 " > < s : t e x t > < s : r > < s : t   x m l : s p a c e = " p r e s e r v e " > 
0y��vMRg�R�[6e9�002 0 0 6 01 3 5 2 �S  P 2   h�5  
 < / s : t > < / s : r > < / s : t e x t > < / i t e m > < / c o m m e n t > < c o m m e n t   s : r e f = " C 5 9 "   r g b C l r = " F F 0 0 0 0 " > < i t e m   i d = " { d 5 b 3 3 5 2 9 - 3 b b 7 - 4 4 e 5 - b f d a - 4 9 1 8 4 6 8 6 9 0 e 2 } "   i s N o r m a l = " 1 " > < s : t e x t > < s : r > < s : t   x m l : s p a c e = " p r e s e r v e " > 2 0 0 2 �����e�NP 3 h�1 . 0 . 1 0   2 0 0 0 s|�NNN�< / s : t > < / s : r > < / s : t e x t > < / i t e m > < / c o m m e n t > < c o m m e n t   s : r e f = " C 6 2 "   r g b C l r = " F F 0 0 0 0 " > < i t e m   i d = " { f 0 3 2 c 7 2 f - 8 3 e d - 4 7 3 f - b 3 1 5 - d a f 5 5 a e 5 b d 6 0 } "   i s N o r m a l = " 1 " > < s : t e x t > < s : r > < s : t   x m l : s p a c e = " p r e s e r v e " > 6��k�|pe	c�V�[�S9e�Y0�^���sQ�N�S^
04l)R04l5u05u�R�^��y��vMRg�]\O�]z�R�[6e9��fL�ĉ�[0�v��w�S9e�N<h02 0 0 6 01 3 5 2 �S  P 1 < / s : t > < / s : r > < / s : t e x t > < / i t e m > < / c o m m e n t > < c o m m e n t   s : r e f = " C 6 4 "   r g b C l r = " F F 0 0 0 0 " > < i t e m   i d = " { 7 e 2 0 2 e b 5 - c 3 1 7 - 4 a 6 0 - 8 0 e c - 2 c f 2 5 a 5 9 e 0 4 a } "   i s N o r m a l = " 1 " > < s : t e x t > < s : r > < s : t   x m l : s p a c e = " p r e s e r v e " > 2 0 0 2 �����e�NP 3 9 h�1 0 . 1 . 6 �1 5 % - 2 0 % 	�< / s : t > < / s : r > < / s : t e x t > < / i t e m > < / c o m m e n t > < / c o m m e n t L i s t > < / c o m m e n t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1 5 9 6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1 1 5 9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1 1 5 9 0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1 1 6 6 5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1 1 6 6 6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1 1 6 6 0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1 1 6 6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1 1 6 6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1 1 5 8 6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1 1 5 8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1 1 5 8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1 1 5 8 4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1 1 5 8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1 1 6 0 6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1 1 6 0 7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1 1 5 9 9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1 1 5 8 5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1 1 6 6 4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1 5 9 6 " / > < p i x e l a t o r L i s t   s h e e t S t i d = " 1 1 5 9 1 " / > < p i x e l a t o r L i s t   s h e e t S t i d = " 1 1 5 9 0 " / > < p i x e l a t o r L i s t   s h e e t S t i d = " 1 1 6 6 5 " / > < p i x e l a t o r L i s t   s h e e t S t i d = " 1 1 6 6 6 " / > < p i x e l a t o r L i s t   s h e e t S t i d = " 1 1 6 6 0 " / > < p i x e l a t o r L i s t   s h e e t S t i d = " 1 1 6 6 1 " / > < p i x e l a t o r L i s t   s h e e t S t i d = " 1 1 6 6 2 " / > < p i x e l a t o r L i s t   s h e e t S t i d = " 1 1 5 8 6 " / > < p i x e l a t o r L i s t   s h e e t S t i d = " 1 1 5 8 1 " / > < p i x e l a t o r L i s t   s h e e t S t i d = " 1 1 5 8 3 " / > < p i x e l a t o r L i s t   s h e e t S t i d = " 1 1 5 8 4 " / > < p i x e l a t o r L i s t   s h e e t S t i d = " 1 1 5 8 2 " / > < p i x e l a t o r L i s t   s h e e t S t i d = " 1 1 6 0 6 " / > < p i x e l a t o r L i s t   s h e e t S t i d = " 1 1 6 0 7 " / > < p i x e l a t o r L i s t   s h e e t S t i d = " 1 1 5 9 9 " / > < p i x e l a t o r L i s t   s h e e t S t i d = " 1 1 5 8 5 " / > < p i x e l a t o r L i s t   s h e e t S t i d = " 1 1 6 6 4 " / > < p i x e l a t o r L i s t   s h e e t S t i d = " 1 1 6 6 7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宁夏水利水电勘测设计院</Company>
  <Application>Microsoft Excel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独立费用</vt:lpstr>
      <vt:lpstr>监理费用</vt:lpstr>
      <vt:lpstr>设计费</vt:lpstr>
      <vt:lpstr>可研初设对比表</vt:lpstr>
      <vt:lpstr>汇总表</vt:lpstr>
      <vt:lpstr>总概算核</vt:lpstr>
      <vt:lpstr>建筑概算核</vt:lpstr>
      <vt:lpstr>安装概算核</vt:lpstr>
      <vt:lpstr>总（姚伏）</vt:lpstr>
      <vt:lpstr>概算（姚伏）</vt:lpstr>
      <vt:lpstr>安装（姚伏）</vt:lpstr>
      <vt:lpstr>总（城关）</vt:lpstr>
      <vt:lpstr>概算（城关）</vt:lpstr>
      <vt:lpstr>安装（城关）</vt:lpstr>
      <vt:lpstr>总（高庄）</vt:lpstr>
      <vt:lpstr>概算（高庄）</vt:lpstr>
      <vt:lpstr>安装(高庄）</vt:lpstr>
      <vt:lpstr>单价汇总表</vt:lpstr>
      <vt:lpstr>新定额单价</vt:lpstr>
      <vt:lpstr>管材</vt:lpstr>
      <vt:lpstr>台时</vt:lpstr>
      <vt:lpstr>配合比</vt:lpstr>
      <vt:lpstr>材料预算价</vt:lpstr>
      <vt:lpstr>工程量汇总表</vt:lpstr>
      <vt:lpstr>材料分析</vt:lpstr>
      <vt:lpstr>取费表</vt:lpstr>
      <vt:lpstr>基础材料表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2000-11-24T17:55:00Z</dcterms:created>
  <cp:lastPrinted>2020-05-14T17:13:00Z</cp:lastPrinted>
  <dcterms:modified xsi:type="dcterms:W3CDTF">2023-05-11T01:57:10Z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E2B4D8ECE12C4CA2910FCF29DFC69A29_13</vt:lpwstr>
  </property>
  <property fmtid="{D5CDD505-2E9C-101B-9397-08002B2CF9AE}" pid="4" name="KSOReadingLayout">
    <vt:bool>false</vt:bool>
  </property>
</Properties>
</file>