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73" activeTab="0"/>
  </bookViews>
  <sheets>
    <sheet name="总估算表 (2)" sheetId="1" r:id="rId1"/>
    <sheet name="总算表" sheetId="2" state="hidden" r:id="rId2"/>
    <sheet name="综合概算表(二期)" sheetId="3" state="hidden" r:id="rId3"/>
    <sheet name="综合估算表 (二期)" sheetId="4" state="hidden" r:id="rId4"/>
    <sheet name="综合估算表 (4)" sheetId="5" state="hidden" r:id="rId5"/>
    <sheet name="综合估算表 (2)" sheetId="6" state="hidden" r:id="rId6"/>
    <sheet name="综合估算表 (3)" sheetId="7" state="hidden" r:id="rId7"/>
  </sheets>
  <definedNames>
    <definedName name="_xlnm.Print_Area" localSheetId="2">'综合概算表(二期)'!$A$1:$L$40</definedName>
    <definedName name="_xlnm.Print_Area" localSheetId="5">'综合估算表 (2)'!$A$1:$K$110</definedName>
    <definedName name="_xlnm.Print_Area" localSheetId="6">'综合估算表 (3)'!$A$1:$K$110</definedName>
    <definedName name="_xlnm.Print_Area" localSheetId="4">'综合估算表 (4)'!$A$1:$K$207</definedName>
    <definedName name="_xlnm.Print_Area" localSheetId="3">'综合估算表 (二期)'!$A$1:$K$58</definedName>
    <definedName name="_xlnm.Print_Titles" localSheetId="2">'综合概算表(二期)'!$1:$4</definedName>
    <definedName name="_xlnm.Print_Titles" localSheetId="5">'综合估算表 (2)'!$1:$4</definedName>
    <definedName name="_xlnm.Print_Titles" localSheetId="6">'综合估算表 (3)'!$1:$4</definedName>
    <definedName name="_xlnm.Print_Titles" localSheetId="4">'综合估算表 (4)'!$1:$4</definedName>
    <definedName name="_xlnm.Print_Titles" localSheetId="3">'综合估算表 (二期)'!$1:$4</definedName>
  </definedNames>
  <calcPr fullCalcOnLoad="1"/>
</workbook>
</file>

<file path=xl/sharedStrings.xml><?xml version="1.0" encoding="utf-8"?>
<sst xmlns="http://schemas.openxmlformats.org/spreadsheetml/2006/main" count="1374" uniqueCount="302">
  <si>
    <t>投资估算审定表</t>
  </si>
  <si>
    <t>工程项目：都思兔河(平罗段)生态缓冲带保护修复工程</t>
  </si>
  <si>
    <t>序
号</t>
  </si>
  <si>
    <t>项 目 名 称</t>
  </si>
  <si>
    <t>估  算   价   值     （万元）</t>
  </si>
  <si>
    <t>技术经济指标</t>
  </si>
  <si>
    <t>占投
资额
（%）</t>
  </si>
  <si>
    <t>土建工程</t>
  </si>
  <si>
    <t>安装工程</t>
  </si>
  <si>
    <t>设备购置</t>
  </si>
  <si>
    <t>其他费用</t>
  </si>
  <si>
    <t>合 计</t>
  </si>
  <si>
    <t>单位</t>
  </si>
  <si>
    <t>数量</t>
  </si>
  <si>
    <t>一</t>
  </si>
  <si>
    <t>工程费用</t>
  </si>
  <si>
    <t>（一）</t>
  </si>
  <si>
    <t>陆域生态缓冲带工程</t>
  </si>
  <si>
    <t>m²</t>
  </si>
  <si>
    <t>（二）</t>
  </si>
  <si>
    <t>水位变幅区缓冲带工程</t>
  </si>
  <si>
    <t>（三）</t>
  </si>
  <si>
    <t>生态护坡工程</t>
  </si>
  <si>
    <t>m</t>
  </si>
  <si>
    <t>（四）</t>
  </si>
  <si>
    <t>灌溉工程</t>
  </si>
  <si>
    <t>二</t>
  </si>
  <si>
    <t>三</t>
  </si>
  <si>
    <t>预备费8%</t>
  </si>
  <si>
    <t>四</t>
  </si>
  <si>
    <t>总计</t>
  </si>
  <si>
    <t>总估算表</t>
  </si>
  <si>
    <t>工程项目：第一排水沟余丁段人工湿地工程估算</t>
  </si>
  <si>
    <t>预备费</t>
  </si>
  <si>
    <t>单位价值</t>
  </si>
  <si>
    <t>一期工程</t>
  </si>
  <si>
    <t>㎡</t>
  </si>
  <si>
    <t>综合概算表</t>
  </si>
  <si>
    <r>
      <t>工程项目：苦水河太阳山段人工湿地水质改善工程(二期</t>
    </r>
    <r>
      <rPr>
        <sz val="12"/>
        <rFont val="宋体"/>
        <family val="0"/>
      </rPr>
      <t>)</t>
    </r>
  </si>
  <si>
    <t>概   算   价   值     （万元）</t>
  </si>
  <si>
    <t>建筑工程</t>
  </si>
  <si>
    <t>水生植物工程</t>
  </si>
  <si>
    <t>潜流人工湿地</t>
  </si>
  <si>
    <t>水生植物种植</t>
  </si>
  <si>
    <t>表流湿地</t>
  </si>
  <si>
    <t>提升泵房</t>
  </si>
  <si>
    <t>安装</t>
  </si>
  <si>
    <t>设备安装</t>
  </si>
  <si>
    <t>总图</t>
  </si>
  <si>
    <t>总图土建工程</t>
  </si>
  <si>
    <t>总图安装工程</t>
  </si>
  <si>
    <t>移动厕所</t>
  </si>
  <si>
    <t>座</t>
  </si>
  <si>
    <t>电气及自控设备</t>
  </si>
  <si>
    <t>项</t>
  </si>
  <si>
    <t>苗木工程</t>
  </si>
  <si>
    <t>棵</t>
  </si>
  <si>
    <t>庭院路灯(带太阳能板)</t>
  </si>
  <si>
    <t>杆</t>
  </si>
  <si>
    <t>监控</t>
  </si>
  <si>
    <t xml:space="preserve">二 </t>
  </si>
  <si>
    <t>项目建设管理费</t>
  </si>
  <si>
    <t>万元</t>
  </si>
  <si>
    <t>工程监理费</t>
  </si>
  <si>
    <t>清单、控制价编制及审核费</t>
  </si>
  <si>
    <t>结算审核费用</t>
  </si>
  <si>
    <t>项目前期工作费</t>
  </si>
  <si>
    <t>勘察测量费</t>
  </si>
  <si>
    <t>施工图审查费</t>
  </si>
  <si>
    <t>招投标代理费</t>
  </si>
  <si>
    <t>工程保险费</t>
  </si>
  <si>
    <t>环评费</t>
  </si>
  <si>
    <t>预备费 3%</t>
  </si>
  <si>
    <t>综合估算表</t>
  </si>
  <si>
    <t>工程项目：石嘴山市尾闸镇美丽小城镇建设项目水城民生社区改造提升</t>
  </si>
  <si>
    <t>估   算   价   值     （万元）</t>
  </si>
  <si>
    <t>增加市政绿化</t>
  </si>
  <si>
    <t>绿化</t>
  </si>
  <si>
    <t>种植土换填</t>
  </si>
  <si>
    <t>停车场</t>
  </si>
  <si>
    <t>内部路面（沥青混凝土面层）</t>
  </si>
  <si>
    <t>沥青</t>
  </si>
  <si>
    <t>停车位</t>
  </si>
  <si>
    <t>面包砖</t>
  </si>
  <si>
    <t>道牙（花岗岩500*150*120）</t>
  </si>
  <si>
    <t>花岗岩</t>
  </si>
  <si>
    <t>民俗风情园</t>
  </si>
  <si>
    <t>铺装（花岗岩）</t>
  </si>
  <si>
    <t>景观树池座椅</t>
  </si>
  <si>
    <t>舞台</t>
  </si>
  <si>
    <t>舞台背景墙</t>
  </si>
  <si>
    <t>园路</t>
  </si>
  <si>
    <t>拆除旧舞台</t>
  </si>
  <si>
    <t>景观坐凳</t>
  </si>
  <si>
    <t>个</t>
  </si>
  <si>
    <t>垃圾桶</t>
  </si>
  <si>
    <t>指示牌</t>
  </si>
  <si>
    <t>二期（停车场）</t>
  </si>
  <si>
    <t>内部路面(砂石)</t>
  </si>
  <si>
    <t>停车位(砂石)</t>
  </si>
  <si>
    <t>m³</t>
  </si>
  <si>
    <t>换填0.8m</t>
  </si>
  <si>
    <t>二期市政道路绿化</t>
  </si>
  <si>
    <t>兰州路北侧延伸至静宁南街段</t>
  </si>
  <si>
    <t>石礼路两侧 兰州路-沈阳路段</t>
  </si>
  <si>
    <t>增加市政绿化（15m）</t>
  </si>
  <si>
    <t>增加市政绿化(20m)</t>
  </si>
  <si>
    <t>沈阳路北侧 静宁南街-G109段</t>
  </si>
  <si>
    <t>工程造价咨询费</t>
  </si>
  <si>
    <t>测量费</t>
  </si>
  <si>
    <t>预备费 8%</t>
  </si>
  <si>
    <t xml:space="preserve">工程项目：石嘴子码头遗址保护区和石嘴子公园全面提质升级改造建设项目
</t>
  </si>
  <si>
    <t xml:space="preserve">（一） </t>
  </si>
  <si>
    <t>项目一期</t>
  </si>
  <si>
    <t>名称</t>
  </si>
  <si>
    <t>石嘴子码头遗址保护区</t>
  </si>
  <si>
    <t>填方</t>
  </si>
  <si>
    <t>园路铺装（青石板）</t>
  </si>
  <si>
    <t>挖方</t>
  </si>
  <si>
    <t>园路铺装（透水混凝土）</t>
  </si>
  <si>
    <t>广场铺装（花岗岩）</t>
  </si>
  <si>
    <t>灌溉</t>
  </si>
  <si>
    <t>茹古涵今</t>
  </si>
  <si>
    <t>1.4.1</t>
  </si>
  <si>
    <t>木栈道（防腐木）</t>
  </si>
  <si>
    <t>1.4.2</t>
  </si>
  <si>
    <t>1.4.3</t>
  </si>
  <si>
    <t>主题雕塑</t>
  </si>
  <si>
    <t>1.4.4</t>
  </si>
  <si>
    <t>艺术栈道（防腐木）</t>
  </si>
  <si>
    <t>和桥</t>
  </si>
  <si>
    <t>生态停车场</t>
  </si>
  <si>
    <t>休息木平台</t>
  </si>
  <si>
    <t>文化浮雕墙</t>
  </si>
  <si>
    <t>码头主题地雕</t>
  </si>
  <si>
    <t>码头遗址景观亭修复</t>
  </si>
  <si>
    <t>处</t>
  </si>
  <si>
    <t>码头船型雕塑修复</t>
  </si>
  <si>
    <t xml:space="preserve"> 处</t>
  </si>
  <si>
    <t>景观电气</t>
  </si>
  <si>
    <t>箱变200KVA</t>
  </si>
  <si>
    <t>台</t>
  </si>
  <si>
    <t>10kV电缆埋地接入</t>
  </si>
  <si>
    <t>Km</t>
  </si>
  <si>
    <t>电缆</t>
  </si>
  <si>
    <t>监控系统</t>
  </si>
  <si>
    <t>庭院灯</t>
  </si>
  <si>
    <t>盏</t>
  </si>
  <si>
    <t>景观灯柱</t>
  </si>
  <si>
    <t>草坪灯</t>
  </si>
  <si>
    <t>小射灯</t>
  </si>
  <si>
    <t>景观互动智能装置</t>
  </si>
  <si>
    <t>艺术灯光</t>
  </si>
  <si>
    <t>其他设施</t>
  </si>
  <si>
    <t>坐凳</t>
  </si>
  <si>
    <t>环保厕所</t>
  </si>
  <si>
    <t>售卖亭</t>
  </si>
  <si>
    <t>遗址保护</t>
  </si>
  <si>
    <t>河道锚索支护</t>
  </si>
  <si>
    <t>4.1.1</t>
  </si>
  <si>
    <t>挖土方（运距5Km）</t>
  </si>
  <si>
    <t>4.1.2</t>
  </si>
  <si>
    <t>混凝土c30</t>
  </si>
  <si>
    <t>4.1.3</t>
  </si>
  <si>
    <t>钢筋</t>
  </si>
  <si>
    <t>t</t>
  </si>
  <si>
    <t>4.1.4</t>
  </si>
  <si>
    <t>预应力钢绞线（1860）</t>
  </si>
  <si>
    <t>4.1.5</t>
  </si>
  <si>
    <t>浆砌片石</t>
  </si>
  <si>
    <t>4.1.6</t>
  </si>
  <si>
    <t>砍挖灌木丛</t>
  </si>
  <si>
    <t>株</t>
  </si>
  <si>
    <t>黄河护岸</t>
  </si>
  <si>
    <t>土方工程</t>
  </si>
  <si>
    <t>拆除工程</t>
  </si>
  <si>
    <t>道路铺装(只拆除面层)</t>
  </si>
  <si>
    <t>广场铺装</t>
  </si>
  <si>
    <t xml:space="preserve">（三） </t>
  </si>
  <si>
    <t>项目三期</t>
  </si>
  <si>
    <t>景观绿化</t>
  </si>
  <si>
    <t>彩色混凝土铺装</t>
  </si>
  <si>
    <t>规格</t>
  </si>
  <si>
    <t>备注</t>
  </si>
  <si>
    <t>飞虹闻古</t>
  </si>
  <si>
    <t>园路铺装</t>
  </si>
  <si>
    <t>彩色混凝土</t>
  </si>
  <si>
    <t>1.2.1</t>
  </si>
  <si>
    <t>1.2.2</t>
  </si>
  <si>
    <t>卵石步道</t>
  </si>
  <si>
    <t>乔、灌、地被</t>
  </si>
  <si>
    <t>儿童游戏装置</t>
  </si>
  <si>
    <t>公共艺术装置</t>
  </si>
  <si>
    <t>横渡黄河</t>
  </si>
  <si>
    <t>种植土</t>
  </si>
  <si>
    <t>1.5.1</t>
  </si>
  <si>
    <t>钢材质</t>
  </si>
  <si>
    <t>1.5.2</t>
  </si>
  <si>
    <t>园路铺装（透水砖）</t>
  </si>
  <si>
    <t>广场铺装(花岗岩)</t>
  </si>
  <si>
    <t>汀步(花岗岩)</t>
  </si>
  <si>
    <t>廊架</t>
  </si>
  <si>
    <t>横渡黄河纪念碑（25m）</t>
  </si>
  <si>
    <t>城市文化主题雕塑（20m）</t>
  </si>
  <si>
    <t>廊架（钢构架）</t>
  </si>
  <si>
    <t>点石成金</t>
  </si>
  <si>
    <t>透水砖</t>
  </si>
  <si>
    <t>木平台（防腐木）</t>
  </si>
  <si>
    <t>石笼艺术装置</t>
  </si>
  <si>
    <t>汀步</t>
  </si>
  <si>
    <t>小城故事广场</t>
  </si>
  <si>
    <t>3.4.1</t>
  </si>
  <si>
    <t>横渡黄河纪念碑</t>
  </si>
  <si>
    <t>25m高</t>
  </si>
  <si>
    <t>3.4.2</t>
  </si>
  <si>
    <t>城市文化主题雕塑</t>
  </si>
  <si>
    <t>20m高</t>
  </si>
  <si>
    <t>3.4.5</t>
  </si>
  <si>
    <t>条石小品</t>
  </si>
  <si>
    <t>木平台</t>
  </si>
  <si>
    <t>防腐木</t>
  </si>
  <si>
    <t>延米</t>
  </si>
  <si>
    <t>箱变250KVA</t>
  </si>
  <si>
    <t>四合木种源保护区</t>
  </si>
  <si>
    <t>景观箱变</t>
  </si>
  <si>
    <t>1*250kVA</t>
  </si>
  <si>
    <r>
      <rPr>
        <sz val="11"/>
        <color indexed="8"/>
        <rFont val="tggj"/>
        <family val="2"/>
      </rPr>
      <t>250000/</t>
    </r>
    <r>
      <rPr>
        <sz val="11"/>
        <color indexed="8"/>
        <rFont val="宋体"/>
        <family val="0"/>
      </rPr>
      <t>台</t>
    </r>
  </si>
  <si>
    <t>杆高4m</t>
  </si>
  <si>
    <t>杆高3.5m</t>
  </si>
  <si>
    <t>艺术灯光装置</t>
  </si>
  <si>
    <t>道路铺装(拆除面层)</t>
  </si>
  <si>
    <t>木栈道</t>
  </si>
  <si>
    <t>楼梯</t>
  </si>
  <si>
    <t>水池</t>
  </si>
  <si>
    <t>路灯</t>
  </si>
  <si>
    <t xml:space="preserve">（二） </t>
  </si>
  <si>
    <t>项目二期</t>
  </si>
  <si>
    <t>石嘴子公园</t>
  </si>
  <si>
    <t>广场绿化</t>
  </si>
  <si>
    <t>花海</t>
  </si>
  <si>
    <t>黄河湿地</t>
  </si>
  <si>
    <t>黄河之眼景观广场（花岗岩）</t>
  </si>
  <si>
    <t>入口广场（花岗岩）</t>
  </si>
  <si>
    <t>华夏经典广场（花岗岩）</t>
  </si>
  <si>
    <t>园路铺装（青石板、塑胶面层等）</t>
  </si>
  <si>
    <t>台阶（花岗岩）</t>
  </si>
  <si>
    <t>甬道（主题地面雕刻）</t>
  </si>
  <si>
    <t>星月湖</t>
  </si>
  <si>
    <t>景观水池</t>
  </si>
  <si>
    <t>音乐喷泉喷头</t>
  </si>
  <si>
    <t>树池坐凳</t>
  </si>
  <si>
    <t>组</t>
  </si>
  <si>
    <t>华夏经典花池</t>
  </si>
  <si>
    <t>箱变500KVA</t>
  </si>
  <si>
    <t>投光灯</t>
  </si>
  <si>
    <t>预（结）算编制及审核</t>
  </si>
  <si>
    <t>地质勘查费</t>
  </si>
  <si>
    <t>设计费</t>
  </si>
  <si>
    <t>环评及环评检测费、环评监理费</t>
  </si>
  <si>
    <t>安全评价费</t>
  </si>
  <si>
    <t>预备费 5%</t>
  </si>
  <si>
    <t>旅游景观工程</t>
  </si>
  <si>
    <t>青石板</t>
  </si>
  <si>
    <t>怀想亭台</t>
  </si>
  <si>
    <t>休憩小广场</t>
  </si>
  <si>
    <t>1.3.1</t>
  </si>
  <si>
    <t>1.3.2</t>
  </si>
  <si>
    <t>1.3.3</t>
  </si>
  <si>
    <t>码头文化主题雕塑</t>
  </si>
  <si>
    <t>人行天桥</t>
  </si>
  <si>
    <t>艺术栈道</t>
  </si>
  <si>
    <t>石嘴子公园片区</t>
  </si>
  <si>
    <t>地被</t>
  </si>
  <si>
    <t>湿地</t>
  </si>
  <si>
    <t>芦苇</t>
  </si>
  <si>
    <t>黄河之眼广场</t>
  </si>
  <si>
    <t>入口广场</t>
  </si>
  <si>
    <t>地下通道（花岗岩）</t>
  </si>
  <si>
    <t>华夏经典广场</t>
  </si>
  <si>
    <t>地下通道</t>
  </si>
  <si>
    <t>甬道</t>
  </si>
  <si>
    <t>主题地面雕刻</t>
  </si>
  <si>
    <t>喷泉喷头</t>
  </si>
  <si>
    <t>锈板文化花池装置</t>
  </si>
  <si>
    <t>黄河艺术风光展示区</t>
  </si>
  <si>
    <t>城市文化雕塑</t>
  </si>
  <si>
    <t>横渡黄河纪念广场</t>
  </si>
  <si>
    <t>3.3.1</t>
  </si>
  <si>
    <t>珍惜植物教育科普基地</t>
  </si>
  <si>
    <t>这个取消，加了一个雕塑</t>
  </si>
  <si>
    <t>3.3.2</t>
  </si>
  <si>
    <t>3.3.3</t>
  </si>
  <si>
    <t>3.3.4</t>
  </si>
  <si>
    <t>3.3.5</t>
  </si>
  <si>
    <t>3.3.6</t>
  </si>
  <si>
    <t>小城往事广场</t>
  </si>
  <si>
    <t>3.4.3</t>
  </si>
  <si>
    <t>3.4.4</t>
  </si>
  <si>
    <t>工业、煤矿主题</t>
  </si>
  <si>
    <t>外电接入</t>
  </si>
  <si>
    <t>（五）</t>
  </si>
  <si>
    <t>（六）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</si>
</sst>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"/>
    <numFmt numFmtId="178" formatCode="0.0_ "/>
    <numFmt numFmtId="179" formatCode="0.00_ "/>
    <numFmt numFmtId="180" formatCode="0_);\(0\)"/>
    <numFmt numFmtId="181" formatCode="0.00_);[Red]\(0.00\)"/>
    <numFmt numFmtId="182" formatCode="0_ "/>
    <numFmt numFmtId="183" formatCode="0.0%"/>
  </numFmts>
  <fonts count="4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8"/>
      <name val="tggj"/>
      <family val="2"/>
    </font>
    <font>
      <sz val="11"/>
      <name val="Times New Roman"/>
      <family val="1"/>
    </font>
    <font>
      <sz val="14"/>
      <name val="宋体"/>
      <family val="0"/>
    </font>
    <font>
      <sz val="11.5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Geneva"/>
      <family val="2"/>
    </font>
    <font>
      <b/>
      <sz val="11"/>
      <color theme="1"/>
      <name val="Calibri"/>
      <family val="0"/>
    </font>
    <font>
      <sz val="11"/>
      <color theme="1"/>
      <name val="Calibri"/>
      <family val="0"/>
    </font>
    <font>
      <b/>
      <sz val="2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rgb="FF00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5" applyNumberFormat="0" applyAlignment="0" applyProtection="0"/>
    <xf numFmtId="0" fontId="26" fillId="4" borderId="6" applyNumberFormat="0" applyAlignment="0" applyProtection="0"/>
    <xf numFmtId="0" fontId="27" fillId="4" borderId="5" applyNumberFormat="0" applyAlignment="0" applyProtection="0"/>
    <xf numFmtId="0" fontId="28" fillId="5" borderId="7" applyNumberFormat="0" applyAlignment="0" applyProtection="0"/>
    <xf numFmtId="0" fontId="29" fillId="0" borderId="8" applyNumberFormat="0" applyFill="0" applyAlignment="0" applyProtection="0"/>
    <xf numFmtId="0" fontId="8" fillId="0" borderId="9" applyNumberFormat="0" applyFill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3" fillId="17" borderId="0" applyNumberFormat="0" applyBorder="0" applyAlignment="0" applyProtection="0"/>
    <xf numFmtId="0" fontId="33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33" fillId="19" borderId="0" applyNumberFormat="0" applyBorder="0" applyAlignment="0" applyProtection="0"/>
    <xf numFmtId="0" fontId="33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/>
      <protection/>
    </xf>
  </cellStyleXfs>
  <cellXfs count="1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176" fontId="5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left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horizontal="center" vertical="center" wrapText="1"/>
      <protection locked="0"/>
    </xf>
    <xf numFmtId="177" fontId="3" fillId="0" borderId="10" xfId="0" applyNumberFormat="1" applyFont="1" applyBorder="1" applyAlignment="1" applyProtection="1">
      <alignment horizontal="center" vertical="center"/>
      <protection locked="0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 applyProtection="1">
      <alignment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180" fontId="6" fillId="0" borderId="10" xfId="0" applyNumberFormat="1" applyFont="1" applyBorder="1" applyAlignment="1" applyProtection="1">
      <alignment horizontal="center" vertical="center"/>
      <protection locked="0"/>
    </xf>
    <xf numFmtId="177" fontId="1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9" fontId="3" fillId="0" borderId="10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181" fontId="7" fillId="0" borderId="10" xfId="0" applyNumberFormat="1" applyFont="1" applyBorder="1" applyAlignment="1" applyProtection="1">
      <alignment horizontal="center" vertical="center"/>
      <protection locked="0"/>
    </xf>
    <xf numFmtId="179" fontId="1" fillId="0" borderId="10" xfId="0" applyNumberFormat="1" applyFont="1" applyBorder="1" applyAlignment="1" applyProtection="1">
      <alignment horizontal="center" vertical="center"/>
      <protection locked="0"/>
    </xf>
    <xf numFmtId="181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 applyProtection="1">
      <alignment horizontal="center" vertical="center" wrapText="1"/>
      <protection locked="0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182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>
      <alignment vertical="center"/>
    </xf>
    <xf numFmtId="2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176" fontId="3" fillId="0" borderId="10" xfId="0" applyNumberFormat="1" applyFont="1" applyFill="1" applyBorder="1" applyAlignment="1">
      <alignment horizontal="center" vertical="center"/>
    </xf>
    <xf numFmtId="10" fontId="3" fillId="0" borderId="10" xfId="17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/>
    </xf>
    <xf numFmtId="176" fontId="1" fillId="0" borderId="10" xfId="0" applyNumberFormat="1" applyFont="1" applyFill="1" applyBorder="1" applyAlignment="1">
      <alignment horizontal="center" vertical="center"/>
    </xf>
    <xf numFmtId="10" fontId="7" fillId="0" borderId="0" xfId="17" applyNumberFormat="1" applyFont="1" applyFill="1" applyBorder="1" applyAlignment="1">
      <alignment vertical="center"/>
    </xf>
    <xf numFmtId="2" fontId="1" fillId="0" borderId="10" xfId="17" applyNumberFormat="1" applyFont="1" applyFill="1" applyBorder="1" applyAlignment="1">
      <alignment horizontal="center" vertical="center"/>
    </xf>
    <xf numFmtId="10" fontId="1" fillId="0" borderId="10" xfId="0" applyNumberFormat="1" applyFont="1" applyFill="1" applyBorder="1" applyAlignment="1">
      <alignment horizontal="center" vertical="center"/>
    </xf>
    <xf numFmtId="10" fontId="1" fillId="0" borderId="10" xfId="17" applyNumberFormat="1" applyFont="1" applyFill="1" applyBorder="1" applyAlignment="1">
      <alignment horizontal="center" vertical="center"/>
    </xf>
    <xf numFmtId="10" fontId="11" fillId="0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wrapText="1"/>
    </xf>
    <xf numFmtId="179" fontId="0" fillId="0" borderId="10" xfId="0" applyNumberFormat="1" applyFont="1" applyBorder="1" applyAlignment="1">
      <alignment horizontal="center" wrapText="1"/>
    </xf>
    <xf numFmtId="179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 applyProtection="1">
      <alignment horizontal="center"/>
      <protection locked="0"/>
    </xf>
    <xf numFmtId="183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6" fontId="0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 applyProtection="1">
      <alignment horizontal="center" wrapText="1"/>
      <protection locked="0"/>
    </xf>
    <xf numFmtId="0" fontId="14" fillId="0" borderId="10" xfId="0" applyNumberFormat="1" applyFont="1" applyBorder="1" applyAlignment="1" applyProtection="1">
      <alignment/>
      <protection locked="0"/>
    </xf>
    <xf numFmtId="178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/>
    </xf>
    <xf numFmtId="178" fontId="0" fillId="0" borderId="10" xfId="0" applyNumberFormat="1" applyBorder="1" applyAlignment="1">
      <alignment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7" fillId="0" borderId="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79" fontId="3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179" fontId="38" fillId="0" borderId="10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 applyProtection="1">
      <alignment horizontal="center" vertical="center"/>
      <protection locked="0"/>
    </xf>
    <xf numFmtId="9" fontId="39" fillId="0" borderId="10" xfId="0" applyNumberFormat="1" applyFont="1" applyBorder="1" applyAlignment="1">
      <alignment horizontal="center" vertical="center"/>
    </xf>
    <xf numFmtId="182" fontId="38" fillId="0" borderId="10" xfId="0" applyNumberFormat="1" applyFont="1" applyBorder="1" applyAlignment="1">
      <alignment horizontal="center" vertical="center"/>
    </xf>
    <xf numFmtId="182" fontId="39" fillId="0" borderId="10" xfId="0" applyNumberFormat="1" applyFont="1" applyBorder="1" applyAlignment="1">
      <alignment horizontal="center" vertical="center"/>
    </xf>
    <xf numFmtId="182" fontId="39" fillId="0" borderId="10" xfId="0" applyNumberFormat="1" applyFont="1" applyBorder="1" applyAlignment="1" applyProtection="1">
      <alignment horizontal="center" vertical="center"/>
      <protection locked="0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下马关工程量" xfId="63"/>
    <cellStyle name="Jun" xfId="64"/>
    <cellStyle name="常规_中宁县单、双阴洞沟治理（修改）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SheetLayoutView="100" workbookViewId="0" topLeftCell="A1">
      <selection activeCell="A1" sqref="A1:J1"/>
    </sheetView>
  </sheetViews>
  <sheetFormatPr defaultColWidth="9.00390625" defaultRowHeight="14.25"/>
  <cols>
    <col min="1" max="1" width="8.50390625" style="0" customWidth="1"/>
    <col min="2" max="2" width="22.00390625" style="0" customWidth="1"/>
    <col min="3" max="3" width="9.75390625" style="0" customWidth="1"/>
    <col min="4" max="4" width="8.625" style="0" customWidth="1"/>
    <col min="5" max="5" width="8.75390625" style="0" customWidth="1"/>
    <col min="6" max="6" width="8.625" style="0" customWidth="1"/>
    <col min="7" max="7" width="10.00390625" style="0" customWidth="1"/>
    <col min="8" max="8" width="4.375" style="0" hidden="1" customWidth="1"/>
    <col min="9" max="9" width="14.00390625" style="0" hidden="1" customWidth="1"/>
    <col min="10" max="10" width="9.00390625" style="0" customWidth="1"/>
    <col min="12" max="12" width="9.375" style="0" bestFit="1" customWidth="1"/>
  </cols>
  <sheetData>
    <row r="1" spans="1:10" ht="40.5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25.5" customHeight="1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8.75" customHeight="1">
      <c r="A3" s="129" t="s">
        <v>2</v>
      </c>
      <c r="B3" s="130" t="s">
        <v>3</v>
      </c>
      <c r="C3" s="130" t="s">
        <v>4</v>
      </c>
      <c r="D3" s="130"/>
      <c r="E3" s="130"/>
      <c r="F3" s="130"/>
      <c r="G3" s="130"/>
      <c r="H3" s="130" t="s">
        <v>5</v>
      </c>
      <c r="I3" s="130"/>
      <c r="J3" s="129" t="s">
        <v>6</v>
      </c>
    </row>
    <row r="4" spans="1:10" ht="9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</row>
    <row r="5" spans="1:10" ht="18.75" customHeight="1">
      <c r="A5" s="130"/>
      <c r="B5" s="130"/>
      <c r="C5" s="130" t="s">
        <v>7</v>
      </c>
      <c r="D5" s="130" t="s">
        <v>8</v>
      </c>
      <c r="E5" s="130" t="s">
        <v>9</v>
      </c>
      <c r="F5" s="130" t="s">
        <v>10</v>
      </c>
      <c r="G5" s="130" t="s">
        <v>11</v>
      </c>
      <c r="H5" s="130" t="s">
        <v>12</v>
      </c>
      <c r="I5" s="130" t="s">
        <v>13</v>
      </c>
      <c r="J5" s="130"/>
    </row>
    <row r="6" spans="1:10" ht="16.5" customHeight="1">
      <c r="A6" s="130"/>
      <c r="B6" s="130"/>
      <c r="C6" s="130"/>
      <c r="D6" s="131"/>
      <c r="E6" s="130"/>
      <c r="F6" s="130"/>
      <c r="G6" s="130"/>
      <c r="H6" s="130"/>
      <c r="I6" s="130"/>
      <c r="J6" s="130"/>
    </row>
    <row r="7" spans="1:11" ht="46.5" customHeight="1">
      <c r="A7" s="130" t="s">
        <v>14</v>
      </c>
      <c r="B7" s="130" t="s">
        <v>15</v>
      </c>
      <c r="C7" s="132">
        <v>3645.390493555555</v>
      </c>
      <c r="D7" s="132">
        <v>495.79</v>
      </c>
      <c r="E7" s="132"/>
      <c r="F7" s="132"/>
      <c r="G7" s="132">
        <v>4141.180493555556</v>
      </c>
      <c r="H7" s="132"/>
      <c r="I7" s="132"/>
      <c r="J7" s="137">
        <f>G7/G14</f>
        <v>0.8453716281569852</v>
      </c>
      <c r="K7" s="117"/>
    </row>
    <row r="8" spans="1:11" ht="46.5" customHeight="1">
      <c r="A8" s="133" t="s">
        <v>16</v>
      </c>
      <c r="B8" s="134" t="s">
        <v>17</v>
      </c>
      <c r="C8" s="135">
        <v>911.6102355555555</v>
      </c>
      <c r="D8" s="135"/>
      <c r="E8" s="135"/>
      <c r="F8" s="135"/>
      <c r="G8" s="135">
        <f>SUM(C8:F8)</f>
        <v>911.6102355555555</v>
      </c>
      <c r="H8" s="135" t="s">
        <v>18</v>
      </c>
      <c r="I8" s="138">
        <v>394778</v>
      </c>
      <c r="J8" s="138"/>
      <c r="K8" s="117"/>
    </row>
    <row r="9" spans="1:11" ht="46.5" customHeight="1">
      <c r="A9" s="133" t="s">
        <v>19</v>
      </c>
      <c r="B9" s="134" t="s">
        <v>20</v>
      </c>
      <c r="C9" s="135">
        <v>2120.49144</v>
      </c>
      <c r="D9" s="135"/>
      <c r="E9" s="135"/>
      <c r="F9" s="135"/>
      <c r="G9" s="135">
        <f>SUM(C9:F9)</f>
        <v>2120.49144</v>
      </c>
      <c r="H9" s="135" t="s">
        <v>18</v>
      </c>
      <c r="I9" s="138">
        <v>482820</v>
      </c>
      <c r="J9" s="138"/>
      <c r="K9" s="117"/>
    </row>
    <row r="10" spans="1:11" ht="46.5" customHeight="1">
      <c r="A10" s="133" t="s">
        <v>21</v>
      </c>
      <c r="B10" s="134" t="s">
        <v>22</v>
      </c>
      <c r="C10" s="135">
        <v>613.288818</v>
      </c>
      <c r="D10" s="135"/>
      <c r="E10" s="135"/>
      <c r="F10" s="135"/>
      <c r="G10" s="135">
        <f>SUM(C10:F10)</f>
        <v>613.288818</v>
      </c>
      <c r="H10" s="135" t="s">
        <v>23</v>
      </c>
      <c r="I10" s="138">
        <v>1554</v>
      </c>
      <c r="J10" s="138"/>
      <c r="K10" s="117"/>
    </row>
    <row r="11" spans="1:11" ht="46.5" customHeight="1">
      <c r="A11" s="133" t="s">
        <v>24</v>
      </c>
      <c r="B11" s="134" t="s">
        <v>25</v>
      </c>
      <c r="C11" s="135"/>
      <c r="D11" s="135">
        <v>495.79</v>
      </c>
      <c r="E11" s="135"/>
      <c r="F11" s="135"/>
      <c r="G11" s="135">
        <f>SUM(C11:F11)</f>
        <v>495.79</v>
      </c>
      <c r="H11" s="135" t="s">
        <v>18</v>
      </c>
      <c r="I11" s="138">
        <v>394778</v>
      </c>
      <c r="J11" s="138"/>
      <c r="K11" s="117"/>
    </row>
    <row r="12" spans="1:11" ht="46.5" customHeight="1">
      <c r="A12" s="130" t="s">
        <v>26</v>
      </c>
      <c r="B12" s="130" t="s">
        <v>10</v>
      </c>
      <c r="C12" s="132"/>
      <c r="D12" s="132"/>
      <c r="E12" s="132"/>
      <c r="F12" s="132">
        <v>394.6073838792889</v>
      </c>
      <c r="G12" s="132">
        <v>394.6073838792889</v>
      </c>
      <c r="H12" s="132"/>
      <c r="I12" s="139"/>
      <c r="J12" s="137">
        <f>G12/G14</f>
        <v>0.08055429776894067</v>
      </c>
      <c r="K12" s="117"/>
    </row>
    <row r="13" spans="1:11" ht="46.5" customHeight="1">
      <c r="A13" s="130" t="s">
        <v>27</v>
      </c>
      <c r="B13" s="130" t="s">
        <v>28</v>
      </c>
      <c r="C13" s="132"/>
      <c r="D13" s="132"/>
      <c r="E13" s="132"/>
      <c r="F13" s="132">
        <v>362.8630301947876</v>
      </c>
      <c r="G13" s="132">
        <v>362.8630301947876</v>
      </c>
      <c r="H13" s="132"/>
      <c r="I13" s="139"/>
      <c r="J13" s="137">
        <f>G13/G14</f>
        <v>0.07407407407407407</v>
      </c>
      <c r="K13" s="117"/>
    </row>
    <row r="14" spans="1:11" ht="46.5" customHeight="1">
      <c r="A14" s="130" t="s">
        <v>29</v>
      </c>
      <c r="B14" s="130" t="s">
        <v>30</v>
      </c>
      <c r="C14" s="136">
        <v>3645.390493555555</v>
      </c>
      <c r="D14" s="136">
        <v>495.79</v>
      </c>
      <c r="E14" s="136"/>
      <c r="F14" s="136">
        <v>757.4704140740764</v>
      </c>
      <c r="G14" s="136">
        <v>4898.6509076296325</v>
      </c>
      <c r="H14" s="136"/>
      <c r="I14" s="140"/>
      <c r="J14" s="140">
        <v>100</v>
      </c>
      <c r="K14" s="117"/>
    </row>
  </sheetData>
  <sheetProtection/>
  <mergeCells count="14">
    <mergeCell ref="A1:J1"/>
    <mergeCell ref="A2:J2"/>
    <mergeCell ref="A3:A6"/>
    <mergeCell ref="B3:B6"/>
    <mergeCell ref="C5:C6"/>
    <mergeCell ref="D5:D6"/>
    <mergeCell ref="E5:E6"/>
    <mergeCell ref="F5:F6"/>
    <mergeCell ref="G5:G6"/>
    <mergeCell ref="H5:H6"/>
    <mergeCell ref="I5:I6"/>
    <mergeCell ref="J3:J6"/>
    <mergeCell ref="C3:G4"/>
    <mergeCell ref="H3:I4"/>
  </mergeCells>
  <printOptions/>
  <pageMargins left="1.2597222222222222" right="0.23999999999999996" top="1.14" bottom="1.93" header="0.21" footer="1.4"/>
  <pageSetup horizontalDpi="180" verticalDpi="18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="145" zoomScaleNormal="145" zoomScaleSheetLayoutView="145" workbookViewId="0" topLeftCell="A1">
      <selection activeCell="B7" sqref="B7"/>
    </sheetView>
  </sheetViews>
  <sheetFormatPr defaultColWidth="9.00390625" defaultRowHeight="14.25"/>
  <cols>
    <col min="1" max="1" width="4.375" style="0" customWidth="1"/>
    <col min="2" max="2" width="13.875" style="0" customWidth="1"/>
    <col min="3" max="8" width="9.625" style="0" customWidth="1"/>
    <col min="9" max="9" width="3.625" style="0" customWidth="1"/>
    <col min="10" max="10" width="10.00390625" style="0" customWidth="1"/>
    <col min="11" max="11" width="9.125" style="0" customWidth="1"/>
    <col min="12" max="12" width="6.375" style="0" customWidth="1"/>
    <col min="14" max="14" width="9.375" style="0" bestFit="1" customWidth="1"/>
  </cols>
  <sheetData>
    <row r="1" spans="1:12" ht="20.25">
      <c r="A1" s="105" t="s">
        <v>31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25.5" customHeight="1">
      <c r="A2" s="106" t="s">
        <v>32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5" t="s">
        <v>2</v>
      </c>
      <c r="B3" s="7" t="s">
        <v>3</v>
      </c>
      <c r="C3" s="107" t="s">
        <v>4</v>
      </c>
      <c r="D3" s="107"/>
      <c r="E3" s="107"/>
      <c r="F3" s="107"/>
      <c r="G3" s="107"/>
      <c r="H3" s="107"/>
      <c r="I3" s="107" t="s">
        <v>5</v>
      </c>
      <c r="J3" s="107"/>
      <c r="K3" s="107"/>
      <c r="L3" s="24" t="s">
        <v>6</v>
      </c>
    </row>
    <row r="4" spans="1:12" ht="12.75" customHeight="1">
      <c r="A4" s="7"/>
      <c r="B4" s="7"/>
      <c r="C4" s="107"/>
      <c r="D4" s="107"/>
      <c r="E4" s="107"/>
      <c r="F4" s="107"/>
      <c r="G4" s="107"/>
      <c r="H4" s="107"/>
      <c r="I4" s="107"/>
      <c r="J4" s="107"/>
      <c r="K4" s="107"/>
      <c r="L4" s="6"/>
    </row>
    <row r="5" spans="1:12" ht="18" customHeight="1">
      <c r="A5" s="7"/>
      <c r="B5" s="7"/>
      <c r="C5" s="108" t="s">
        <v>7</v>
      </c>
      <c r="D5" s="108" t="s">
        <v>8</v>
      </c>
      <c r="E5" s="108" t="s">
        <v>9</v>
      </c>
      <c r="F5" s="108" t="s">
        <v>10</v>
      </c>
      <c r="G5" s="108" t="s">
        <v>33</v>
      </c>
      <c r="H5" s="108" t="s">
        <v>11</v>
      </c>
      <c r="I5" s="108" t="s">
        <v>12</v>
      </c>
      <c r="J5" s="108" t="s">
        <v>13</v>
      </c>
      <c r="K5" s="108" t="s">
        <v>34</v>
      </c>
      <c r="L5" s="6"/>
    </row>
    <row r="6" spans="1:12" ht="0.75" customHeight="1">
      <c r="A6" s="7"/>
      <c r="B6" s="7"/>
      <c r="C6" s="108"/>
      <c r="D6" s="109"/>
      <c r="E6" s="108"/>
      <c r="F6" s="108"/>
      <c r="G6" s="108"/>
      <c r="H6" s="108"/>
      <c r="I6" s="108"/>
      <c r="J6" s="108"/>
      <c r="K6" s="108"/>
      <c r="L6" s="6"/>
    </row>
    <row r="7" spans="1:13" ht="24.75" customHeight="1">
      <c r="A7" s="110" t="s">
        <v>14</v>
      </c>
      <c r="B7" s="36" t="s">
        <v>35</v>
      </c>
      <c r="C7" s="111">
        <v>2818.549441</v>
      </c>
      <c r="D7" s="111">
        <v>106.585768</v>
      </c>
      <c r="E7" s="111">
        <v>19.470399999999998</v>
      </c>
      <c r="F7" s="111">
        <v>250.04308632547068</v>
      </c>
      <c r="G7" s="111">
        <v>99.84301065976412</v>
      </c>
      <c r="H7" s="111">
        <v>3427.9433659852352</v>
      </c>
      <c r="I7" s="111" t="s">
        <v>36</v>
      </c>
      <c r="J7" s="111">
        <v>54728</v>
      </c>
      <c r="K7" s="111">
        <v>626.3600654117154</v>
      </c>
      <c r="L7" s="116">
        <v>1</v>
      </c>
      <c r="M7" s="117"/>
    </row>
    <row r="8" spans="1:13" ht="24.75" customHeight="1">
      <c r="A8" s="110"/>
      <c r="B8" s="112"/>
      <c r="C8" s="113"/>
      <c r="D8" s="113"/>
      <c r="E8" s="113"/>
      <c r="F8" s="113"/>
      <c r="G8" s="113"/>
      <c r="H8" s="113"/>
      <c r="I8" s="118"/>
      <c r="J8" s="119"/>
      <c r="K8" s="120"/>
      <c r="L8" s="121"/>
      <c r="M8" s="117"/>
    </row>
    <row r="9" spans="1:13" ht="24.75" customHeight="1">
      <c r="A9" s="110"/>
      <c r="B9" s="36"/>
      <c r="C9" s="111"/>
      <c r="D9" s="111"/>
      <c r="E9" s="111"/>
      <c r="F9" s="111"/>
      <c r="G9" s="111"/>
      <c r="H9" s="111"/>
      <c r="I9" s="122"/>
      <c r="J9" s="122"/>
      <c r="K9" s="122"/>
      <c r="L9" s="123"/>
      <c r="M9" s="117"/>
    </row>
    <row r="10" spans="1:13" ht="24.75" customHeight="1">
      <c r="A10" s="110"/>
      <c r="B10" s="36"/>
      <c r="C10" s="111"/>
      <c r="D10" s="111"/>
      <c r="E10" s="111"/>
      <c r="F10" s="111"/>
      <c r="G10" s="111"/>
      <c r="H10" s="111"/>
      <c r="I10" s="111"/>
      <c r="J10" s="111"/>
      <c r="K10" s="111"/>
      <c r="L10" s="124"/>
      <c r="M10" s="117"/>
    </row>
    <row r="11" spans="1:13" ht="24.75" customHeight="1">
      <c r="A11" s="110"/>
      <c r="B11" s="36"/>
      <c r="C11" s="110"/>
      <c r="D11" s="110"/>
      <c r="E11" s="110"/>
      <c r="F11" s="114"/>
      <c r="G11" s="114"/>
      <c r="H11" s="114"/>
      <c r="I11" s="29"/>
      <c r="J11" s="29"/>
      <c r="K11" s="29"/>
      <c r="L11" s="125"/>
      <c r="M11" s="117"/>
    </row>
    <row r="12" spans="1:13" ht="24.75" customHeight="1">
      <c r="A12" s="110"/>
      <c r="B12" s="110" t="s">
        <v>30</v>
      </c>
      <c r="C12" s="115">
        <v>2818.549441</v>
      </c>
      <c r="D12" s="115">
        <v>106.585768</v>
      </c>
      <c r="E12" s="115">
        <v>19.470399999999998</v>
      </c>
      <c r="F12" s="115">
        <v>250.04308632547068</v>
      </c>
      <c r="G12" s="115">
        <v>99.84301065976412</v>
      </c>
      <c r="H12" s="115">
        <v>3427.9433659852352</v>
      </c>
      <c r="I12" s="111" t="s">
        <v>36</v>
      </c>
      <c r="J12" s="115">
        <v>54728</v>
      </c>
      <c r="K12" s="115">
        <v>626.3600654117154</v>
      </c>
      <c r="L12" s="126">
        <v>100</v>
      </c>
      <c r="M12" s="117"/>
    </row>
  </sheetData>
  <sheetProtection/>
  <mergeCells count="15">
    <mergeCell ref="A1:L1"/>
    <mergeCell ref="A2:L2"/>
    <mergeCell ref="A3:A6"/>
    <mergeCell ref="B3:B6"/>
    <mergeCell ref="C5:C6"/>
    <mergeCell ref="D5:D6"/>
    <mergeCell ref="E5:E6"/>
    <mergeCell ref="F5:F6"/>
    <mergeCell ref="H5:H6"/>
    <mergeCell ref="I5:I6"/>
    <mergeCell ref="J5:J6"/>
    <mergeCell ref="K5:K6"/>
    <mergeCell ref="L3:L6"/>
    <mergeCell ref="C3:H4"/>
    <mergeCell ref="I3:K4"/>
  </mergeCells>
  <printOptions/>
  <pageMargins left="0.7900000000000001" right="0.7900000000000001" top="1.14" bottom="1.93" header="0.2" footer="1.42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SheetLayoutView="100" workbookViewId="0" topLeftCell="A4">
      <selection activeCell="H40" sqref="H40"/>
    </sheetView>
  </sheetViews>
  <sheetFormatPr defaultColWidth="9.00390625" defaultRowHeight="14.25"/>
  <cols>
    <col min="1" max="1" width="6.00390625" style="73" customWidth="1"/>
    <col min="2" max="2" width="19.75390625" style="74" customWidth="1"/>
    <col min="3" max="8" width="10.875" style="73" customWidth="1"/>
    <col min="9" max="9" width="4.00390625" style="73" customWidth="1"/>
    <col min="10" max="11" width="10.625" style="73" customWidth="1"/>
    <col min="12" max="12" width="4.75390625" style="73" customWidth="1"/>
    <col min="13" max="13" width="18.625" style="75" customWidth="1"/>
    <col min="14" max="14" width="18.375" style="75" customWidth="1"/>
    <col min="15" max="15" width="18.50390625" style="75" customWidth="1"/>
    <col min="16" max="16" width="14.75390625" style="75" customWidth="1"/>
    <col min="17" max="16384" width="9.00390625" style="75" customWidth="1"/>
  </cols>
  <sheetData>
    <row r="1" spans="1:12" ht="24" customHeight="1">
      <c r="A1" s="76" t="s">
        <v>37</v>
      </c>
      <c r="B1" s="77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1" customHeight="1">
      <c r="A2" s="78" t="s">
        <v>38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24" customHeight="1">
      <c r="A3" s="79" t="s">
        <v>2</v>
      </c>
      <c r="B3" s="80" t="s">
        <v>3</v>
      </c>
      <c r="C3" s="81" t="s">
        <v>39</v>
      </c>
      <c r="D3" s="81"/>
      <c r="E3" s="81"/>
      <c r="F3" s="81"/>
      <c r="G3" s="81"/>
      <c r="H3" s="81"/>
      <c r="I3" s="81" t="s">
        <v>5</v>
      </c>
      <c r="J3" s="81"/>
      <c r="K3" s="81"/>
      <c r="L3" s="92" t="s">
        <v>6</v>
      </c>
    </row>
    <row r="4" spans="1:12" ht="24" customHeight="1">
      <c r="A4" s="81"/>
      <c r="B4" s="80"/>
      <c r="C4" s="80" t="s">
        <v>40</v>
      </c>
      <c r="D4" s="80" t="s">
        <v>8</v>
      </c>
      <c r="E4" s="80" t="s">
        <v>9</v>
      </c>
      <c r="F4" s="80" t="s">
        <v>41</v>
      </c>
      <c r="G4" s="80" t="s">
        <v>10</v>
      </c>
      <c r="H4" s="80" t="s">
        <v>11</v>
      </c>
      <c r="I4" s="80" t="s">
        <v>12</v>
      </c>
      <c r="J4" s="80" t="s">
        <v>13</v>
      </c>
      <c r="K4" s="80" t="s">
        <v>34</v>
      </c>
      <c r="L4" s="80"/>
    </row>
    <row r="5" spans="1:12" ht="25.5" customHeight="1">
      <c r="A5" s="81" t="s">
        <v>14</v>
      </c>
      <c r="B5" s="82" t="s">
        <v>15</v>
      </c>
      <c r="C5" s="83">
        <f>C6+C10+C14+C17+C20+C21+C22+C23+C24</f>
        <v>1756.110046</v>
      </c>
      <c r="D5" s="83">
        <f>D6+D10+D14+D17+D20+D21+D22+D23+D24</f>
        <v>76.86304299999999</v>
      </c>
      <c r="E5" s="83">
        <f>E6+E10+E14+E17+E20+E21+E22+E23+E24</f>
        <v>79.11999999999999</v>
      </c>
      <c r="F5" s="83">
        <f>F6+F10+F14+F17+F20+F21+F22+F23+F24</f>
        <v>84.419962</v>
      </c>
      <c r="G5" s="83"/>
      <c r="H5" s="83">
        <f aca="true" t="shared" si="0" ref="H5:H22">SUM(C5:G5)</f>
        <v>1996.513051</v>
      </c>
      <c r="I5" s="83" t="s">
        <v>36</v>
      </c>
      <c r="J5" s="83">
        <f>J6+J10</f>
        <v>25696.010000000002</v>
      </c>
      <c r="K5" s="83">
        <f aca="true" t="shared" si="1" ref="K5:K13">H5*10000/J5</f>
        <v>776.9739547112566</v>
      </c>
      <c r="L5" s="93">
        <f>H5/H40*100</f>
        <v>91.72307295971352</v>
      </c>
    </row>
    <row r="6" spans="1:16" ht="25.5" customHeight="1">
      <c r="A6" s="84">
        <v>1</v>
      </c>
      <c r="B6" s="82" t="s">
        <v>42</v>
      </c>
      <c r="C6" s="83">
        <f>C7+C8+C9</f>
        <v>1536.235189</v>
      </c>
      <c r="D6" s="83">
        <f>D7+D8+D9</f>
        <v>35.006991</v>
      </c>
      <c r="E6" s="83">
        <f>E7+E8+E9</f>
        <v>0</v>
      </c>
      <c r="F6" s="83">
        <f>F7+F8+F9</f>
        <v>77.53793</v>
      </c>
      <c r="G6" s="83"/>
      <c r="H6" s="83">
        <f t="shared" si="0"/>
        <v>1648.78011</v>
      </c>
      <c r="I6" s="83" t="s">
        <v>36</v>
      </c>
      <c r="J6" s="83">
        <v>19837.02</v>
      </c>
      <c r="K6" s="83">
        <f t="shared" si="1"/>
        <v>831.1632039489803</v>
      </c>
      <c r="L6" s="93"/>
      <c r="M6" s="94"/>
      <c r="N6" s="94">
        <v>350007.18</v>
      </c>
      <c r="P6" s="94"/>
    </row>
    <row r="7" spans="1:16" ht="25.5" customHeight="1">
      <c r="A7" s="84"/>
      <c r="B7" s="82" t="s">
        <v>7</v>
      </c>
      <c r="C7" s="83">
        <f>M7/10000</f>
        <v>1536.235189</v>
      </c>
      <c r="D7" s="83"/>
      <c r="E7" s="83"/>
      <c r="F7" s="83"/>
      <c r="G7" s="83"/>
      <c r="H7" s="83">
        <f t="shared" si="0"/>
        <v>1536.235189</v>
      </c>
      <c r="I7" s="83" t="s">
        <v>36</v>
      </c>
      <c r="J7" s="83">
        <f>J6</f>
        <v>19837.02</v>
      </c>
      <c r="K7" s="83">
        <f t="shared" si="1"/>
        <v>774.4284116263431</v>
      </c>
      <c r="L7" s="93"/>
      <c r="M7" s="94">
        <v>15362351.89</v>
      </c>
      <c r="N7" s="95"/>
      <c r="P7" s="94"/>
    </row>
    <row r="8" spans="1:16" ht="25.5" customHeight="1">
      <c r="A8" s="84"/>
      <c r="B8" s="82" t="s">
        <v>8</v>
      </c>
      <c r="C8" s="83"/>
      <c r="D8" s="83">
        <f>M8/10000</f>
        <v>35.006991</v>
      </c>
      <c r="E8" s="83"/>
      <c r="F8" s="83"/>
      <c r="G8" s="83"/>
      <c r="H8" s="83">
        <f t="shared" si="0"/>
        <v>35.006991</v>
      </c>
      <c r="I8" s="83" t="s">
        <v>36</v>
      </c>
      <c r="J8" s="83">
        <f>J6</f>
        <v>19837.02</v>
      </c>
      <c r="K8" s="83">
        <f t="shared" si="1"/>
        <v>17.64730337520454</v>
      </c>
      <c r="L8" s="93"/>
      <c r="M8" s="94">
        <v>350069.91</v>
      </c>
      <c r="N8" s="95"/>
      <c r="P8" s="94"/>
    </row>
    <row r="9" spans="1:16" ht="25.5" customHeight="1">
      <c r="A9" s="84"/>
      <c r="B9" s="82" t="s">
        <v>43</v>
      </c>
      <c r="C9" s="83"/>
      <c r="D9" s="83"/>
      <c r="E9" s="83"/>
      <c r="F9" s="83">
        <f>M9/10000</f>
        <v>77.53793</v>
      </c>
      <c r="G9" s="83"/>
      <c r="H9" s="83">
        <f t="shared" si="0"/>
        <v>77.53793</v>
      </c>
      <c r="I9" s="83" t="s">
        <v>36</v>
      </c>
      <c r="J9" s="83">
        <f>J6</f>
        <v>19837.02</v>
      </c>
      <c r="K9" s="83">
        <f t="shared" si="1"/>
        <v>39.08748894743263</v>
      </c>
      <c r="L9" s="93"/>
      <c r="M9" s="94">
        <v>775379.3</v>
      </c>
      <c r="N9" s="95"/>
      <c r="P9" s="94"/>
    </row>
    <row r="10" spans="1:16" ht="25.5" customHeight="1">
      <c r="A10" s="84">
        <v>2</v>
      </c>
      <c r="B10" s="82" t="s">
        <v>44</v>
      </c>
      <c r="C10" s="83">
        <f>C11+C12+C13</f>
        <v>122.729307</v>
      </c>
      <c r="D10" s="83"/>
      <c r="E10" s="83">
        <f>E11+E12+E13</f>
        <v>4.4</v>
      </c>
      <c r="F10" s="83">
        <f>F11+F12+F13</f>
        <v>6.882032000000001</v>
      </c>
      <c r="G10" s="83"/>
      <c r="H10" s="83">
        <f t="shared" si="0"/>
        <v>134.01133900000002</v>
      </c>
      <c r="I10" s="83" t="s">
        <v>36</v>
      </c>
      <c r="J10" s="83">
        <v>5858.99</v>
      </c>
      <c r="K10" s="83">
        <f t="shared" si="1"/>
        <v>228.7277141623386</v>
      </c>
      <c r="L10" s="93"/>
      <c r="M10" s="55"/>
      <c r="P10" s="94">
        <v>77438.15</v>
      </c>
    </row>
    <row r="11" spans="1:16" ht="25.5" customHeight="1">
      <c r="A11" s="84"/>
      <c r="B11" s="82" t="s">
        <v>7</v>
      </c>
      <c r="C11" s="83">
        <f>M11/10000</f>
        <v>122.729307</v>
      </c>
      <c r="D11" s="83"/>
      <c r="E11" s="83"/>
      <c r="F11" s="83"/>
      <c r="G11" s="83"/>
      <c r="H11" s="83">
        <f t="shared" si="0"/>
        <v>122.729307</v>
      </c>
      <c r="I11" s="83" t="str">
        <f>I10</f>
        <v>㎡</v>
      </c>
      <c r="J11" s="83">
        <f>J10</f>
        <v>5858.99</v>
      </c>
      <c r="K11" s="83">
        <f t="shared" si="1"/>
        <v>209.47178097248846</v>
      </c>
      <c r="L11" s="93"/>
      <c r="M11" s="55">
        <v>1227293.07</v>
      </c>
      <c r="P11" s="95"/>
    </row>
    <row r="12" spans="1:16" ht="25.5" customHeight="1">
      <c r="A12" s="84"/>
      <c r="B12" s="82" t="s">
        <v>43</v>
      </c>
      <c r="C12" s="83"/>
      <c r="D12" s="83"/>
      <c r="E12" s="83"/>
      <c r="F12" s="83">
        <f>M12/10000</f>
        <v>6.882032000000001</v>
      </c>
      <c r="G12" s="83"/>
      <c r="H12" s="83">
        <f t="shared" si="0"/>
        <v>6.882032000000001</v>
      </c>
      <c r="I12" s="83" t="s">
        <v>36</v>
      </c>
      <c r="J12" s="83">
        <f>J10</f>
        <v>5858.99</v>
      </c>
      <c r="K12" s="83">
        <f t="shared" si="1"/>
        <v>11.746106410831903</v>
      </c>
      <c r="L12" s="93"/>
      <c r="M12" s="55">
        <v>68820.32</v>
      </c>
      <c r="P12" s="95"/>
    </row>
    <row r="13" spans="1:16" ht="25.5" customHeight="1">
      <c r="A13" s="84"/>
      <c r="B13" s="82" t="s">
        <v>9</v>
      </c>
      <c r="C13" s="83"/>
      <c r="D13" s="83"/>
      <c r="E13" s="83">
        <v>4.4</v>
      </c>
      <c r="F13" s="83"/>
      <c r="G13" s="83"/>
      <c r="H13" s="83">
        <f t="shared" si="0"/>
        <v>4.4</v>
      </c>
      <c r="I13" s="83" t="s">
        <v>36</v>
      </c>
      <c r="J13" s="83">
        <f>J10</f>
        <v>5858.99</v>
      </c>
      <c r="K13" s="83">
        <f t="shared" si="1"/>
        <v>7.509826779018227</v>
      </c>
      <c r="L13" s="93"/>
      <c r="M13" s="55"/>
      <c r="P13" s="95"/>
    </row>
    <row r="14" spans="1:13" ht="25.5" customHeight="1">
      <c r="A14" s="84">
        <v>3</v>
      </c>
      <c r="B14" s="85" t="s">
        <v>45</v>
      </c>
      <c r="C14" s="83">
        <f>SUM(C15:C16)</f>
        <v>0</v>
      </c>
      <c r="D14" s="83">
        <f>SUM(D15:D16)</f>
        <v>1.911961</v>
      </c>
      <c r="E14" s="83">
        <f>SUM(E15:E16)</f>
        <v>2.48</v>
      </c>
      <c r="F14" s="83">
        <f>SUM(F15:F16)</f>
        <v>0</v>
      </c>
      <c r="G14" s="83"/>
      <c r="H14" s="83">
        <f t="shared" si="0"/>
        <v>4.391961</v>
      </c>
      <c r="I14" s="83" t="s">
        <v>36</v>
      </c>
      <c r="J14" s="83">
        <v>220.15</v>
      </c>
      <c r="K14" s="83">
        <f aca="true" t="shared" si="2" ref="K14:K19">H14*10000/J14</f>
        <v>199.4985691573927</v>
      </c>
      <c r="L14" s="93"/>
      <c r="M14" s="55"/>
    </row>
    <row r="15" spans="1:15" ht="25.5" customHeight="1">
      <c r="A15" s="86">
        <v>3.1</v>
      </c>
      <c r="B15" s="82" t="s">
        <v>46</v>
      </c>
      <c r="C15" s="83"/>
      <c r="D15" s="83">
        <f>M15/10000</f>
        <v>1.911961</v>
      </c>
      <c r="E15" s="83"/>
      <c r="F15" s="83"/>
      <c r="G15" s="83"/>
      <c r="H15" s="83">
        <f t="shared" si="0"/>
        <v>1.911961</v>
      </c>
      <c r="I15" s="83" t="s">
        <v>36</v>
      </c>
      <c r="J15" s="83">
        <f>J14</f>
        <v>220.15</v>
      </c>
      <c r="K15" s="83">
        <f t="shared" si="2"/>
        <v>86.84810356575062</v>
      </c>
      <c r="L15" s="90"/>
      <c r="M15" s="96">
        <v>19119.61</v>
      </c>
      <c r="N15" s="96"/>
      <c r="O15" s="55"/>
    </row>
    <row r="16" spans="1:15" ht="25.5" customHeight="1">
      <c r="A16" s="86">
        <v>3.2</v>
      </c>
      <c r="B16" s="82" t="s">
        <v>47</v>
      </c>
      <c r="C16" s="83"/>
      <c r="D16" s="83"/>
      <c r="E16" s="83">
        <v>2.48</v>
      </c>
      <c r="F16" s="83"/>
      <c r="G16" s="83"/>
      <c r="H16" s="83">
        <f t="shared" si="0"/>
        <v>2.48</v>
      </c>
      <c r="I16" s="83" t="s">
        <v>36</v>
      </c>
      <c r="J16" s="83">
        <f>J14</f>
        <v>220.15</v>
      </c>
      <c r="K16" s="83">
        <f t="shared" si="2"/>
        <v>112.65046559164206</v>
      </c>
      <c r="L16" s="90"/>
      <c r="M16" s="94"/>
      <c r="N16" s="96"/>
      <c r="O16" s="55"/>
    </row>
    <row r="17" spans="1:14" ht="25.5" customHeight="1">
      <c r="A17" s="84">
        <v>4</v>
      </c>
      <c r="B17" s="82" t="s">
        <v>48</v>
      </c>
      <c r="C17" s="83">
        <f>C18+C19</f>
        <v>82.905235</v>
      </c>
      <c r="D17" s="83">
        <f>D18+D19</f>
        <v>20.144091</v>
      </c>
      <c r="E17" s="83"/>
      <c r="F17" s="83"/>
      <c r="G17" s="83"/>
      <c r="H17" s="83">
        <f t="shared" si="0"/>
        <v>103.04932600000001</v>
      </c>
      <c r="I17" s="83" t="s">
        <v>36</v>
      </c>
      <c r="J17" s="83">
        <f>J5</f>
        <v>25696.010000000002</v>
      </c>
      <c r="K17" s="83">
        <f t="shared" si="2"/>
        <v>40.103240152848635</v>
      </c>
      <c r="L17" s="90"/>
      <c r="M17" s="94"/>
      <c r="N17" s="94"/>
    </row>
    <row r="18" spans="1:14" ht="25.5" customHeight="1">
      <c r="A18" s="84"/>
      <c r="B18" s="82" t="s">
        <v>49</v>
      </c>
      <c r="C18" s="83">
        <f>M18/10000</f>
        <v>82.905235</v>
      </c>
      <c r="D18" s="83"/>
      <c r="E18" s="83"/>
      <c r="F18" s="83"/>
      <c r="G18" s="83"/>
      <c r="H18" s="83">
        <f t="shared" si="0"/>
        <v>82.905235</v>
      </c>
      <c r="I18" s="83" t="s">
        <v>36</v>
      </c>
      <c r="J18" s="83">
        <v>6067.8</v>
      </c>
      <c r="K18" s="83">
        <f t="shared" si="2"/>
        <v>136.631456211477</v>
      </c>
      <c r="L18" s="90"/>
      <c r="M18" s="94">
        <v>829052.35</v>
      </c>
      <c r="N18" s="95"/>
    </row>
    <row r="19" spans="1:14" ht="25.5" customHeight="1">
      <c r="A19" s="84"/>
      <c r="B19" s="82" t="s">
        <v>50</v>
      </c>
      <c r="C19" s="83"/>
      <c r="D19" s="83">
        <f>M19/10000</f>
        <v>20.144091</v>
      </c>
      <c r="E19" s="83"/>
      <c r="F19" s="83"/>
      <c r="G19" s="83"/>
      <c r="H19" s="83">
        <f t="shared" si="0"/>
        <v>20.144091</v>
      </c>
      <c r="I19" s="83" t="s">
        <v>23</v>
      </c>
      <c r="J19" s="83">
        <v>467.8</v>
      </c>
      <c r="K19" s="83">
        <f t="shared" si="2"/>
        <v>430.61331765711844</v>
      </c>
      <c r="L19" s="90"/>
      <c r="M19" s="94">
        <v>201440.91</v>
      </c>
      <c r="N19" s="95"/>
    </row>
    <row r="20" spans="1:13" ht="25.5" customHeight="1">
      <c r="A20" s="84">
        <v>5</v>
      </c>
      <c r="B20" s="82" t="s">
        <v>51</v>
      </c>
      <c r="C20" s="83">
        <f>J20*K20/10000</f>
        <v>1</v>
      </c>
      <c r="D20" s="83"/>
      <c r="E20" s="83"/>
      <c r="F20" s="83"/>
      <c r="G20" s="83"/>
      <c r="H20" s="83">
        <f t="shared" si="0"/>
        <v>1</v>
      </c>
      <c r="I20" s="83" t="s">
        <v>52</v>
      </c>
      <c r="J20" s="83">
        <v>1</v>
      </c>
      <c r="K20" s="83">
        <v>10000</v>
      </c>
      <c r="L20" s="90"/>
      <c r="M20" s="94"/>
    </row>
    <row r="21" spans="1:13" ht="25.5" customHeight="1">
      <c r="A21" s="84">
        <v>6</v>
      </c>
      <c r="B21" s="82" t="s">
        <v>53</v>
      </c>
      <c r="C21" s="83"/>
      <c r="D21" s="83"/>
      <c r="E21" s="83">
        <v>72.24</v>
      </c>
      <c r="F21" s="83"/>
      <c r="G21" s="83"/>
      <c r="H21" s="83">
        <f t="shared" si="0"/>
        <v>72.24</v>
      </c>
      <c r="I21" s="83" t="s">
        <v>54</v>
      </c>
      <c r="J21" s="83">
        <v>1</v>
      </c>
      <c r="K21" s="83">
        <f>H21*10000</f>
        <v>722400</v>
      </c>
      <c r="L21" s="90"/>
      <c r="M21" s="94"/>
    </row>
    <row r="22" spans="1:13" ht="25.5" customHeight="1">
      <c r="A22" s="84">
        <v>7</v>
      </c>
      <c r="B22" s="82" t="s">
        <v>55</v>
      </c>
      <c r="C22" s="83">
        <f>M22/10000</f>
        <v>3.2403150000000003</v>
      </c>
      <c r="D22" s="83"/>
      <c r="E22" s="83"/>
      <c r="G22" s="83"/>
      <c r="H22" s="83">
        <f t="shared" si="0"/>
        <v>3.2403150000000003</v>
      </c>
      <c r="I22" s="83" t="s">
        <v>56</v>
      </c>
      <c r="J22" s="83">
        <v>255</v>
      </c>
      <c r="K22" s="83">
        <f>H22*10000/J22</f>
        <v>127.07117647058824</v>
      </c>
      <c r="L22" s="90"/>
      <c r="M22" s="94">
        <v>32403.15</v>
      </c>
    </row>
    <row r="23" spans="1:13" ht="25.5" customHeight="1">
      <c r="A23" s="84">
        <v>8</v>
      </c>
      <c r="B23" s="82" t="s">
        <v>57</v>
      </c>
      <c r="C23" s="83"/>
      <c r="D23" s="83">
        <f>J23*K23/10000</f>
        <v>19.8</v>
      </c>
      <c r="E23" s="83"/>
      <c r="F23" s="83"/>
      <c r="G23" s="83"/>
      <c r="H23" s="83">
        <f>SUM(D23:G23)</f>
        <v>19.8</v>
      </c>
      <c r="I23" s="83" t="s">
        <v>58</v>
      </c>
      <c r="J23" s="83">
        <v>90</v>
      </c>
      <c r="K23" s="83">
        <v>2200</v>
      </c>
      <c r="L23" s="90"/>
      <c r="M23" s="94"/>
    </row>
    <row r="24" spans="1:13" ht="25.5" customHeight="1">
      <c r="A24" s="84">
        <v>9</v>
      </c>
      <c r="B24" s="85" t="s">
        <v>59</v>
      </c>
      <c r="C24" s="83">
        <v>10</v>
      </c>
      <c r="D24" s="83"/>
      <c r="E24" s="83"/>
      <c r="F24" s="83"/>
      <c r="G24" s="83"/>
      <c r="H24" s="83">
        <f>SUM(C24:G24)</f>
        <v>10</v>
      </c>
      <c r="I24" s="83" t="s">
        <v>54</v>
      </c>
      <c r="J24" s="83">
        <v>1</v>
      </c>
      <c r="K24" s="83">
        <f>H24*10000</f>
        <v>100000</v>
      </c>
      <c r="L24" s="90"/>
      <c r="M24" s="94"/>
    </row>
    <row r="25" spans="1:13" ht="25.5" customHeight="1">
      <c r="A25" s="84"/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90"/>
      <c r="M25" s="94"/>
    </row>
    <row r="26" spans="1:13" ht="25.5" customHeight="1">
      <c r="A26" s="81" t="s">
        <v>60</v>
      </c>
      <c r="B26" s="82" t="s">
        <v>10</v>
      </c>
      <c r="C26" s="87"/>
      <c r="D26" s="87"/>
      <c r="E26" s="87"/>
      <c r="F26" s="87"/>
      <c r="G26" s="83">
        <f>SUM(G27:G36)</f>
        <v>116.76349206595</v>
      </c>
      <c r="H26" s="83">
        <f aca="true" t="shared" si="3" ref="H26:H35">SUM(C26:G26)</f>
        <v>116.76349206595</v>
      </c>
      <c r="I26" s="83"/>
      <c r="J26" s="97"/>
      <c r="K26" s="97"/>
      <c r="L26" s="93">
        <f>H26/H40*100</f>
        <v>5.36430568106317</v>
      </c>
      <c r="M26" s="98">
        <f>G26/H5</f>
        <v>0.058483710891579846</v>
      </c>
    </row>
    <row r="27" spans="1:13" ht="25.5" customHeight="1">
      <c r="A27" s="79">
        <v>1</v>
      </c>
      <c r="B27" s="82" t="s">
        <v>61</v>
      </c>
      <c r="C27" s="81"/>
      <c r="D27" s="81"/>
      <c r="E27" s="81"/>
      <c r="F27" s="81"/>
      <c r="G27" s="83">
        <f>(20+(H5-1000)*0.015)*0.8</f>
        <v>27.958156612</v>
      </c>
      <c r="H27" s="83">
        <f t="shared" si="3"/>
        <v>27.958156612</v>
      </c>
      <c r="I27" s="83" t="s">
        <v>62</v>
      </c>
      <c r="J27" s="99">
        <f>H5</f>
        <v>1996.513051</v>
      </c>
      <c r="K27" s="100">
        <f>H27/J27</f>
        <v>0.014003493039024466</v>
      </c>
      <c r="L27" s="90"/>
      <c r="M27" s="98">
        <f>G27/H5</f>
        <v>0.014003493039024466</v>
      </c>
    </row>
    <row r="28" spans="1:13" ht="25.5" customHeight="1">
      <c r="A28" s="79">
        <v>2</v>
      </c>
      <c r="B28" s="82" t="s">
        <v>63</v>
      </c>
      <c r="C28" s="88"/>
      <c r="D28" s="88"/>
      <c r="E28" s="88"/>
      <c r="F28" s="88"/>
      <c r="G28" s="83">
        <f>((30.1*(3000-1000)+(H5-1000)*(78.1-30.1))/(3000-1000))*0.7</f>
        <v>37.8114192568</v>
      </c>
      <c r="H28" s="83">
        <f t="shared" si="3"/>
        <v>37.8114192568</v>
      </c>
      <c r="I28" s="83" t="s">
        <v>62</v>
      </c>
      <c r="J28" s="99">
        <f>H5</f>
        <v>1996.513051</v>
      </c>
      <c r="K28" s="100">
        <f>H28/J28</f>
        <v>0.018938728819158618</v>
      </c>
      <c r="L28" s="90"/>
      <c r="M28" s="98">
        <f>G28/H5</f>
        <v>0.018938728819158618</v>
      </c>
    </row>
    <row r="29" spans="1:13" ht="25.5" customHeight="1">
      <c r="A29" s="79">
        <v>3</v>
      </c>
      <c r="B29" s="85" t="s">
        <v>64</v>
      </c>
      <c r="C29" s="88"/>
      <c r="D29" s="88"/>
      <c r="E29" s="88"/>
      <c r="F29" s="88"/>
      <c r="G29" s="83">
        <f>H5*0.006</f>
        <v>11.979078306</v>
      </c>
      <c r="H29" s="83">
        <f t="shared" si="3"/>
        <v>11.979078306</v>
      </c>
      <c r="I29" s="83" t="s">
        <v>62</v>
      </c>
      <c r="J29" s="99">
        <f>H5</f>
        <v>1996.513051</v>
      </c>
      <c r="K29" s="100">
        <f aca="true" t="shared" si="4" ref="K29:K36">H29/J29</f>
        <v>0.006</v>
      </c>
      <c r="L29" s="90"/>
      <c r="M29" s="98"/>
    </row>
    <row r="30" spans="1:13" ht="25.5" customHeight="1">
      <c r="A30" s="79">
        <v>4</v>
      </c>
      <c r="B30" s="82" t="s">
        <v>65</v>
      </c>
      <c r="C30" s="88"/>
      <c r="D30" s="88"/>
      <c r="E30" s="88"/>
      <c r="F30" s="88"/>
      <c r="G30" s="83">
        <f>H5*0.002</f>
        <v>3.993026102</v>
      </c>
      <c r="H30" s="83">
        <f t="shared" si="3"/>
        <v>3.993026102</v>
      </c>
      <c r="I30" s="83" t="s">
        <v>62</v>
      </c>
      <c r="J30" s="99">
        <f>H5</f>
        <v>1996.513051</v>
      </c>
      <c r="K30" s="100">
        <f t="shared" si="4"/>
        <v>0.002</v>
      </c>
      <c r="L30" s="90"/>
      <c r="M30" s="98"/>
    </row>
    <row r="31" spans="1:13" ht="25.5" customHeight="1">
      <c r="A31" s="79">
        <v>5</v>
      </c>
      <c r="B31" s="82" t="s">
        <v>66</v>
      </c>
      <c r="C31" s="88"/>
      <c r="D31" s="88"/>
      <c r="E31" s="88"/>
      <c r="F31" s="88"/>
      <c r="G31" s="83">
        <v>5</v>
      </c>
      <c r="H31" s="83">
        <f t="shared" si="3"/>
        <v>5</v>
      </c>
      <c r="I31" s="83" t="s">
        <v>62</v>
      </c>
      <c r="J31" s="99">
        <f>H5</f>
        <v>1996.513051</v>
      </c>
      <c r="K31" s="100">
        <f t="shared" si="4"/>
        <v>0.0025043662987805832</v>
      </c>
      <c r="L31" s="90"/>
      <c r="M31" s="98"/>
    </row>
    <row r="32" spans="1:13" ht="25.5" customHeight="1">
      <c r="A32" s="79">
        <v>6</v>
      </c>
      <c r="B32" s="82" t="s">
        <v>67</v>
      </c>
      <c r="C32" s="81"/>
      <c r="D32" s="81"/>
      <c r="E32" s="81"/>
      <c r="F32" s="81"/>
      <c r="G32" s="83">
        <v>10</v>
      </c>
      <c r="H32" s="83">
        <f t="shared" si="3"/>
        <v>10</v>
      </c>
      <c r="I32" s="83" t="s">
        <v>62</v>
      </c>
      <c r="J32" s="99">
        <f>H5</f>
        <v>1996.513051</v>
      </c>
      <c r="K32" s="100">
        <f t="shared" si="4"/>
        <v>0.0050087325975611665</v>
      </c>
      <c r="L32" s="90"/>
      <c r="M32" s="98">
        <f>G32/H5</f>
        <v>0.0050087325975611665</v>
      </c>
    </row>
    <row r="33" spans="1:13" ht="25.5" customHeight="1">
      <c r="A33" s="79">
        <v>7</v>
      </c>
      <c r="B33" s="82" t="s">
        <v>68</v>
      </c>
      <c r="C33" s="81"/>
      <c r="D33" s="81"/>
      <c r="E33" s="81"/>
      <c r="F33" s="81"/>
      <c r="G33" s="83">
        <v>4</v>
      </c>
      <c r="H33" s="83">
        <f t="shared" si="3"/>
        <v>4</v>
      </c>
      <c r="I33" s="83" t="s">
        <v>62</v>
      </c>
      <c r="J33" s="99">
        <v>61.54</v>
      </c>
      <c r="K33" s="100">
        <v>0.065</v>
      </c>
      <c r="L33" s="93"/>
      <c r="M33" s="98">
        <f>G33/H5</f>
        <v>0.0020034930390244667</v>
      </c>
    </row>
    <row r="34" spans="1:13" ht="25.5" customHeight="1">
      <c r="A34" s="79">
        <v>8</v>
      </c>
      <c r="B34" s="82" t="s">
        <v>69</v>
      </c>
      <c r="C34" s="88"/>
      <c r="D34" s="88"/>
      <c r="E34" s="88"/>
      <c r="F34" s="88"/>
      <c r="G34" s="83">
        <f>((H5-1000)*0.0035+2.75+2.8+1)*0.9</f>
        <v>9.03401611065</v>
      </c>
      <c r="H34" s="83">
        <f t="shared" si="3"/>
        <v>9.03401611065</v>
      </c>
      <c r="I34" s="83" t="s">
        <v>62</v>
      </c>
      <c r="J34" s="99">
        <f>H5</f>
        <v>1996.513051</v>
      </c>
      <c r="K34" s="100">
        <f t="shared" si="4"/>
        <v>0.004524897098030541</v>
      </c>
      <c r="L34" s="93"/>
      <c r="M34" s="98">
        <f>G34/H5</f>
        <v>0.004524897098030541</v>
      </c>
    </row>
    <row r="35" spans="1:13" ht="25.5" customHeight="1">
      <c r="A35" s="79">
        <v>9</v>
      </c>
      <c r="B35" s="82" t="s">
        <v>70</v>
      </c>
      <c r="C35" s="89"/>
      <c r="D35" s="90"/>
      <c r="E35" s="91"/>
      <c r="F35" s="91"/>
      <c r="G35" s="83">
        <f>H5*0.001</f>
        <v>1.996513051</v>
      </c>
      <c r="H35" s="83">
        <f t="shared" si="3"/>
        <v>1.996513051</v>
      </c>
      <c r="I35" s="83" t="s">
        <v>62</v>
      </c>
      <c r="J35" s="99">
        <f>H5</f>
        <v>1996.513051</v>
      </c>
      <c r="K35" s="100">
        <f t="shared" si="4"/>
        <v>0.001</v>
      </c>
      <c r="L35" s="82"/>
      <c r="M35" s="98">
        <f>G35/H5</f>
        <v>0.001</v>
      </c>
    </row>
    <row r="36" spans="1:13" ht="25.5" customHeight="1">
      <c r="A36" s="79">
        <v>10</v>
      </c>
      <c r="B36" s="82" t="s">
        <v>71</v>
      </c>
      <c r="C36" s="89"/>
      <c r="D36" s="90"/>
      <c r="E36" s="91"/>
      <c r="F36" s="91"/>
      <c r="G36" s="83">
        <f>7.5/3000*H5</f>
        <v>4.9912826274999995</v>
      </c>
      <c r="H36" s="83">
        <f>SUM(G36)</f>
        <v>4.9912826274999995</v>
      </c>
      <c r="I36" s="83" t="s">
        <v>62</v>
      </c>
      <c r="J36" s="99">
        <f>H5</f>
        <v>1996.513051</v>
      </c>
      <c r="K36" s="100">
        <f t="shared" si="4"/>
        <v>0.0025</v>
      </c>
      <c r="L36" s="82"/>
      <c r="M36" s="98">
        <f>G36/H5</f>
        <v>0.0025</v>
      </c>
    </row>
    <row r="37" spans="1:13" ht="25.5" customHeight="1">
      <c r="A37" s="79"/>
      <c r="B37" s="82"/>
      <c r="C37" s="89"/>
      <c r="D37" s="90"/>
      <c r="E37" s="91"/>
      <c r="F37" s="91"/>
      <c r="G37" s="83"/>
      <c r="H37" s="83"/>
      <c r="I37" s="83"/>
      <c r="J37" s="101"/>
      <c r="K37" s="102"/>
      <c r="L37" s="82"/>
      <c r="M37" s="98"/>
    </row>
    <row r="38" spans="1:13" ht="25.5" customHeight="1">
      <c r="A38" s="82" t="s">
        <v>27</v>
      </c>
      <c r="B38" s="82" t="s">
        <v>72</v>
      </c>
      <c r="C38" s="89"/>
      <c r="D38" s="90"/>
      <c r="E38" s="91"/>
      <c r="F38" s="91"/>
      <c r="G38" s="83">
        <f>(H5+H26)*0.03</f>
        <v>63.398296291978504</v>
      </c>
      <c r="H38" s="83">
        <f>G38</f>
        <v>63.398296291978504</v>
      </c>
      <c r="I38" s="83"/>
      <c r="J38" s="101"/>
      <c r="K38" s="102"/>
      <c r="L38" s="93">
        <f>H38/H40*100</f>
        <v>2.9126213592233006</v>
      </c>
      <c r="M38" s="55">
        <f>J38*K38/10000</f>
        <v>0</v>
      </c>
    </row>
    <row r="39" spans="1:13" ht="25.5" customHeight="1">
      <c r="A39" s="82"/>
      <c r="B39" s="82"/>
      <c r="C39" s="89"/>
      <c r="D39" s="90"/>
      <c r="E39" s="91"/>
      <c r="F39" s="91"/>
      <c r="G39" s="83"/>
      <c r="H39" s="83"/>
      <c r="I39" s="83"/>
      <c r="J39" s="101"/>
      <c r="K39" s="103"/>
      <c r="L39" s="93"/>
      <c r="M39" s="55"/>
    </row>
    <row r="40" spans="1:12" ht="25.5" customHeight="1">
      <c r="A40" s="81"/>
      <c r="B40" s="82" t="s">
        <v>30</v>
      </c>
      <c r="C40" s="83">
        <f aca="true" t="shared" si="5" ref="C40:H40">C5+C26+C38</f>
        <v>1756.110046</v>
      </c>
      <c r="D40" s="83">
        <f t="shared" si="5"/>
        <v>76.86304299999999</v>
      </c>
      <c r="E40" s="83">
        <f t="shared" si="5"/>
        <v>79.11999999999999</v>
      </c>
      <c r="F40" s="83">
        <f t="shared" si="5"/>
        <v>84.419962</v>
      </c>
      <c r="G40" s="83">
        <f t="shared" si="5"/>
        <v>180.16178835792851</v>
      </c>
      <c r="H40" s="83">
        <f t="shared" si="5"/>
        <v>2176.6748393579287</v>
      </c>
      <c r="I40" s="83" t="s">
        <v>36</v>
      </c>
      <c r="J40" s="83">
        <f>J5</f>
        <v>25696.010000000002</v>
      </c>
      <c r="K40" s="83">
        <f>H40*10000/J40</f>
        <v>847.0867030943436</v>
      </c>
      <c r="L40" s="104">
        <f>L5+L26+L38</f>
        <v>99.99999999999999</v>
      </c>
    </row>
  </sheetData>
  <sheetProtection/>
  <mergeCells count="7">
    <mergeCell ref="A1:L1"/>
    <mergeCell ref="A2:L2"/>
    <mergeCell ref="C3:H3"/>
    <mergeCell ref="I3:K3"/>
    <mergeCell ref="A3:A4"/>
    <mergeCell ref="B3:B4"/>
    <mergeCell ref="L3:L4"/>
  </mergeCells>
  <printOptions/>
  <pageMargins left="0.71" right="0.71" top="0.47" bottom="0.59" header="0.31" footer="0.4300000000000000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view="pageBreakPreview" zoomScaleSheetLayoutView="100" workbookViewId="0" topLeftCell="A1">
      <selection activeCell="E58" sqref="E58"/>
    </sheetView>
  </sheetViews>
  <sheetFormatPr defaultColWidth="9.00390625" defaultRowHeight="14.25"/>
  <cols>
    <col min="1" max="1" width="6.00390625" style="0" customWidth="1"/>
    <col min="2" max="2" width="17.50390625" style="1" customWidth="1"/>
    <col min="3" max="3" width="8.625" style="0" customWidth="1"/>
    <col min="4" max="4" width="7.375" style="0" customWidth="1"/>
    <col min="5" max="5" width="7.125" style="0" customWidth="1"/>
    <col min="6" max="6" width="7.375" style="0" customWidth="1"/>
    <col min="7" max="7" width="8.375" style="0" customWidth="1"/>
    <col min="8" max="8" width="4.00390625" style="0" customWidth="1"/>
    <col min="9" max="9" width="9.25390625" style="0" customWidth="1"/>
    <col min="10" max="10" width="10.50390625" style="0" customWidth="1"/>
    <col min="11" max="11" width="5.50390625" style="0" customWidth="1"/>
    <col min="12" max="12" width="10.375" style="0" bestFit="1" customWidth="1"/>
    <col min="14" max="15" width="12.625" style="0" bestFit="1" customWidth="1"/>
  </cols>
  <sheetData>
    <row r="1" spans="1:11" ht="24" customHeight="1">
      <c r="A1" s="2" t="s">
        <v>73</v>
      </c>
      <c r="B1" s="3"/>
      <c r="C1" s="2"/>
      <c r="D1" s="2"/>
      <c r="E1" s="2"/>
      <c r="F1" s="2"/>
      <c r="G1" s="2"/>
      <c r="H1" s="2"/>
      <c r="I1" s="2"/>
      <c r="J1" s="2"/>
      <c r="K1" s="2"/>
    </row>
    <row r="2" spans="1:11" ht="21" customHeight="1">
      <c r="A2" s="4" t="s">
        <v>74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" customHeight="1">
      <c r="A3" s="5" t="s">
        <v>2</v>
      </c>
      <c r="B3" s="6" t="s">
        <v>3</v>
      </c>
      <c r="C3" s="7" t="s">
        <v>75</v>
      </c>
      <c r="D3" s="7"/>
      <c r="E3" s="7"/>
      <c r="F3" s="7"/>
      <c r="G3" s="7"/>
      <c r="H3" s="7" t="s">
        <v>5</v>
      </c>
      <c r="I3" s="7"/>
      <c r="J3" s="7"/>
      <c r="K3" s="24" t="s">
        <v>6</v>
      </c>
    </row>
    <row r="4" spans="1:11" ht="24" customHeight="1">
      <c r="A4" s="7"/>
      <c r="B4" s="6"/>
      <c r="C4" s="6" t="s">
        <v>40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34</v>
      </c>
      <c r="K4" s="6"/>
    </row>
    <row r="5" spans="1:11" ht="25.5" customHeight="1">
      <c r="A5" s="8" t="s">
        <v>14</v>
      </c>
      <c r="B5" s="9" t="s">
        <v>15</v>
      </c>
      <c r="C5" s="10">
        <f>C30+C36</f>
        <v>717.1813</v>
      </c>
      <c r="D5" s="10">
        <f>D30+D36</f>
        <v>0</v>
      </c>
      <c r="E5" s="10">
        <f>E30+E36</f>
        <v>0</v>
      </c>
      <c r="F5" s="10"/>
      <c r="G5" s="11">
        <f aca="true" t="shared" si="0" ref="G5:G30">SUM(C5:F5)</f>
        <v>717.1813</v>
      </c>
      <c r="H5" s="12"/>
      <c r="I5" s="21"/>
      <c r="J5" s="25"/>
      <c r="K5" s="26">
        <f>G5/G58*100</f>
        <v>86.5609978187044</v>
      </c>
    </row>
    <row r="6" spans="1:11" ht="25.5" customHeight="1" hidden="1">
      <c r="A6" s="8" t="s">
        <v>16</v>
      </c>
      <c r="B6" s="9" t="s">
        <v>76</v>
      </c>
      <c r="C6" s="10">
        <f>SUM(C7:C9)</f>
        <v>0</v>
      </c>
      <c r="D6" s="10"/>
      <c r="E6" s="10"/>
      <c r="F6" s="10"/>
      <c r="G6" s="11">
        <f t="shared" si="0"/>
        <v>0</v>
      </c>
      <c r="H6" s="12"/>
      <c r="I6" s="21"/>
      <c r="J6" s="25"/>
      <c r="K6" s="26"/>
    </row>
    <row r="7" spans="1:11" ht="25.5" customHeight="1" hidden="1">
      <c r="A7" s="8">
        <v>1</v>
      </c>
      <c r="B7" s="35" t="s">
        <v>77</v>
      </c>
      <c r="C7" s="15">
        <f>I7*J7/10000*0</f>
        <v>0</v>
      </c>
      <c r="D7" s="10"/>
      <c r="E7" s="10"/>
      <c r="F7" s="10"/>
      <c r="G7" s="11">
        <f t="shared" si="0"/>
        <v>0</v>
      </c>
      <c r="H7" s="65" t="s">
        <v>36</v>
      </c>
      <c r="I7" s="65">
        <f>8700-282-366</f>
        <v>8052</v>
      </c>
      <c r="J7" s="65">
        <v>120</v>
      </c>
      <c r="K7" s="26"/>
    </row>
    <row r="8" spans="1:11" ht="25.5" customHeight="1" hidden="1">
      <c r="A8" s="8">
        <v>2</v>
      </c>
      <c r="B8" s="35" t="s">
        <v>25</v>
      </c>
      <c r="C8" s="15">
        <f>I8*J8/10000*0</f>
        <v>0</v>
      </c>
      <c r="D8" s="10"/>
      <c r="E8" s="10"/>
      <c r="F8" s="10"/>
      <c r="G8" s="11">
        <f t="shared" si="0"/>
        <v>0</v>
      </c>
      <c r="H8" s="65" t="s">
        <v>36</v>
      </c>
      <c r="I8" s="65">
        <f>8700-282-366</f>
        <v>8052</v>
      </c>
      <c r="J8" s="65">
        <v>30</v>
      </c>
      <c r="K8" s="26"/>
    </row>
    <row r="9" spans="1:11" ht="25.5" customHeight="1" hidden="1">
      <c r="A9" s="8">
        <v>3</v>
      </c>
      <c r="B9" s="35" t="s">
        <v>78</v>
      </c>
      <c r="C9" s="15">
        <f>I9*J9/10000*0</f>
        <v>0</v>
      </c>
      <c r="D9" s="10"/>
      <c r="E9" s="10"/>
      <c r="F9" s="10"/>
      <c r="G9" s="11">
        <f t="shared" si="0"/>
        <v>0</v>
      </c>
      <c r="H9" s="65" t="s">
        <v>36</v>
      </c>
      <c r="I9" s="65">
        <f>8700-282-366</f>
        <v>8052</v>
      </c>
      <c r="J9" s="65">
        <v>35</v>
      </c>
      <c r="K9" s="26"/>
    </row>
    <row r="10" spans="1:11" ht="25.5" customHeight="1" hidden="1">
      <c r="A10" s="8" t="s">
        <v>19</v>
      </c>
      <c r="B10" s="66" t="s">
        <v>79</v>
      </c>
      <c r="C10" s="10">
        <f>SUM(C11:C16)</f>
        <v>0</v>
      </c>
      <c r="D10" s="10"/>
      <c r="E10" s="10"/>
      <c r="F10" s="10"/>
      <c r="G10" s="11">
        <f t="shared" si="0"/>
        <v>0</v>
      </c>
      <c r="H10" s="65" t="s">
        <v>36</v>
      </c>
      <c r="I10" s="65">
        <v>6445</v>
      </c>
      <c r="J10" s="65">
        <f>C10/I10*10000</f>
        <v>0</v>
      </c>
      <c r="K10" s="26"/>
    </row>
    <row r="11" spans="1:11" ht="25.5" customHeight="1" hidden="1">
      <c r="A11" s="8">
        <v>1</v>
      </c>
      <c r="B11" s="35" t="s">
        <v>77</v>
      </c>
      <c r="C11" s="15">
        <f aca="true" t="shared" si="1" ref="C11:C16">I11*J11/10000*0</f>
        <v>0</v>
      </c>
      <c r="D11" s="10"/>
      <c r="E11" s="10"/>
      <c r="F11" s="10"/>
      <c r="G11" s="11">
        <f t="shared" si="0"/>
        <v>0</v>
      </c>
      <c r="H11" s="65" t="s">
        <v>36</v>
      </c>
      <c r="I11" s="65">
        <f>1701+44</f>
        <v>1745</v>
      </c>
      <c r="J11" s="65">
        <v>120</v>
      </c>
      <c r="K11" s="26"/>
    </row>
    <row r="12" spans="1:12" ht="33" customHeight="1" hidden="1">
      <c r="A12" s="8">
        <v>2</v>
      </c>
      <c r="B12" s="35" t="s">
        <v>80</v>
      </c>
      <c r="C12" s="15">
        <f t="shared" si="1"/>
        <v>0</v>
      </c>
      <c r="D12" s="10"/>
      <c r="E12" s="10"/>
      <c r="F12" s="10"/>
      <c r="G12" s="11">
        <f t="shared" si="0"/>
        <v>0</v>
      </c>
      <c r="H12" s="65" t="s">
        <v>36</v>
      </c>
      <c r="I12" s="65">
        <f>4172-268-634-633-167</f>
        <v>2470</v>
      </c>
      <c r="J12" s="65">
        <v>265</v>
      </c>
      <c r="K12" s="26"/>
      <c r="L12" t="s">
        <v>81</v>
      </c>
    </row>
    <row r="13" spans="1:12" ht="25.5" customHeight="1" hidden="1">
      <c r="A13" s="8">
        <v>3</v>
      </c>
      <c r="B13" s="35" t="s">
        <v>82</v>
      </c>
      <c r="C13" s="15">
        <f t="shared" si="1"/>
        <v>0</v>
      </c>
      <c r="D13" s="10"/>
      <c r="E13" s="10"/>
      <c r="F13" s="10"/>
      <c r="G13" s="11">
        <f t="shared" si="0"/>
        <v>0</v>
      </c>
      <c r="H13" s="65" t="s">
        <v>36</v>
      </c>
      <c r="I13" s="65">
        <f>I10-I11-I12</f>
        <v>2230</v>
      </c>
      <c r="J13" s="65">
        <v>243</v>
      </c>
      <c r="K13" s="26"/>
      <c r="L13" t="s">
        <v>83</v>
      </c>
    </row>
    <row r="14" spans="1:12" ht="25.5" customHeight="1" hidden="1">
      <c r="A14" s="8">
        <v>4</v>
      </c>
      <c r="B14" s="35" t="s">
        <v>84</v>
      </c>
      <c r="C14" s="15">
        <f t="shared" si="1"/>
        <v>0</v>
      </c>
      <c r="D14" s="10"/>
      <c r="E14" s="10"/>
      <c r="F14" s="10"/>
      <c r="G14" s="11">
        <f t="shared" si="0"/>
        <v>0</v>
      </c>
      <c r="H14" s="15" t="s">
        <v>23</v>
      </c>
      <c r="I14" s="15">
        <v>945</v>
      </c>
      <c r="J14" s="65">
        <v>80</v>
      </c>
      <c r="K14" s="26"/>
      <c r="L14" t="s">
        <v>85</v>
      </c>
    </row>
    <row r="15" spans="1:11" ht="25.5" customHeight="1" hidden="1">
      <c r="A15" s="8">
        <v>5</v>
      </c>
      <c r="B15" s="35" t="s">
        <v>25</v>
      </c>
      <c r="C15" s="15">
        <f t="shared" si="1"/>
        <v>0</v>
      </c>
      <c r="D15" s="10"/>
      <c r="E15" s="10"/>
      <c r="F15" s="10"/>
      <c r="G15" s="11">
        <f t="shared" si="0"/>
        <v>0</v>
      </c>
      <c r="H15" s="15" t="s">
        <v>36</v>
      </c>
      <c r="I15" s="65">
        <f>1701+44</f>
        <v>1745</v>
      </c>
      <c r="J15" s="65">
        <v>30</v>
      </c>
      <c r="K15" s="26"/>
    </row>
    <row r="16" spans="1:11" ht="25.5" customHeight="1" hidden="1">
      <c r="A16" s="8">
        <v>6</v>
      </c>
      <c r="B16" s="35" t="s">
        <v>78</v>
      </c>
      <c r="C16" s="15">
        <f t="shared" si="1"/>
        <v>0</v>
      </c>
      <c r="D16" s="10"/>
      <c r="E16" s="10"/>
      <c r="F16" s="10"/>
      <c r="G16" s="11">
        <f t="shared" si="0"/>
        <v>0</v>
      </c>
      <c r="H16" s="65" t="s">
        <v>36</v>
      </c>
      <c r="I16" s="65">
        <v>1745</v>
      </c>
      <c r="J16" s="65">
        <f>J9</f>
        <v>35</v>
      </c>
      <c r="K16" s="26"/>
    </row>
    <row r="17" spans="1:11" ht="25.5" customHeight="1" hidden="1">
      <c r="A17" s="8" t="s">
        <v>21</v>
      </c>
      <c r="B17" s="9" t="s">
        <v>86</v>
      </c>
      <c r="C17" s="10">
        <f>SUM(C18:C29)</f>
        <v>0</v>
      </c>
      <c r="D17" s="10"/>
      <c r="E17" s="10"/>
      <c r="F17" s="10"/>
      <c r="G17" s="11">
        <f t="shared" si="0"/>
        <v>0</v>
      </c>
      <c r="H17" s="65" t="s">
        <v>36</v>
      </c>
      <c r="I17" s="65">
        <v>5650</v>
      </c>
      <c r="J17" s="65">
        <f>C17/I17*10000</f>
        <v>0</v>
      </c>
      <c r="K17" s="26"/>
    </row>
    <row r="18" spans="1:11" ht="25.5" customHeight="1" hidden="1">
      <c r="A18" s="8">
        <v>1</v>
      </c>
      <c r="B18" s="35" t="s">
        <v>77</v>
      </c>
      <c r="C18" s="15">
        <f aca="true" t="shared" si="2" ref="C18:C29">I18*J18/10000*0</f>
        <v>0</v>
      </c>
      <c r="D18" s="10"/>
      <c r="E18" s="10"/>
      <c r="F18" s="10"/>
      <c r="G18" s="11">
        <f t="shared" si="0"/>
        <v>0</v>
      </c>
      <c r="H18" s="65" t="s">
        <v>36</v>
      </c>
      <c r="I18" s="65">
        <v>4450</v>
      </c>
      <c r="J18" s="65">
        <v>150</v>
      </c>
      <c r="K18" s="26"/>
    </row>
    <row r="19" spans="1:12" ht="25.5" customHeight="1" hidden="1">
      <c r="A19" s="8">
        <v>2</v>
      </c>
      <c r="B19" s="35" t="s">
        <v>87</v>
      </c>
      <c r="C19" s="15">
        <f t="shared" si="2"/>
        <v>0</v>
      </c>
      <c r="D19" s="10"/>
      <c r="E19" s="10"/>
      <c r="F19" s="10"/>
      <c r="G19" s="11">
        <f t="shared" si="0"/>
        <v>0</v>
      </c>
      <c r="H19" s="65" t="s">
        <v>36</v>
      </c>
      <c r="I19" s="65">
        <v>832</v>
      </c>
      <c r="J19" s="65">
        <v>320</v>
      </c>
      <c r="K19" s="26"/>
      <c r="L19" t="s">
        <v>85</v>
      </c>
    </row>
    <row r="20" spans="1:11" ht="25.5" customHeight="1" hidden="1">
      <c r="A20" s="8">
        <v>3</v>
      </c>
      <c r="B20" s="35" t="s">
        <v>88</v>
      </c>
      <c r="C20" s="15">
        <f t="shared" si="2"/>
        <v>0</v>
      </c>
      <c r="D20" s="10"/>
      <c r="E20" s="10"/>
      <c r="F20" s="10"/>
      <c r="G20" s="11">
        <f t="shared" si="0"/>
        <v>0</v>
      </c>
      <c r="H20" s="65" t="s">
        <v>23</v>
      </c>
      <c r="I20" s="65">
        <v>144</v>
      </c>
      <c r="J20" s="65">
        <v>500</v>
      </c>
      <c r="K20" s="26"/>
    </row>
    <row r="21" spans="1:11" ht="25.5" customHeight="1" hidden="1">
      <c r="A21" s="8">
        <v>4</v>
      </c>
      <c r="B21" s="35" t="s">
        <v>89</v>
      </c>
      <c r="C21" s="15">
        <f t="shared" si="2"/>
        <v>0</v>
      </c>
      <c r="D21" s="10"/>
      <c r="E21" s="10"/>
      <c r="F21" s="10"/>
      <c r="G21" s="11">
        <f t="shared" si="0"/>
        <v>0</v>
      </c>
      <c r="H21" s="65" t="s">
        <v>36</v>
      </c>
      <c r="I21" s="15">
        <v>240</v>
      </c>
      <c r="J21" s="65">
        <v>500</v>
      </c>
      <c r="K21" s="26"/>
    </row>
    <row r="22" spans="1:11" ht="25.5" customHeight="1" hidden="1">
      <c r="A22" s="8">
        <v>5</v>
      </c>
      <c r="B22" s="35" t="s">
        <v>90</v>
      </c>
      <c r="C22" s="15">
        <f t="shared" si="2"/>
        <v>0</v>
      </c>
      <c r="D22" s="10"/>
      <c r="E22" s="10"/>
      <c r="F22" s="10"/>
      <c r="G22" s="11">
        <f t="shared" si="0"/>
        <v>0</v>
      </c>
      <c r="H22" s="15" t="s">
        <v>23</v>
      </c>
      <c r="I22" s="65">
        <v>20</v>
      </c>
      <c r="J22" s="65">
        <v>2500</v>
      </c>
      <c r="K22" s="26"/>
    </row>
    <row r="23" spans="1:12" ht="25.5" customHeight="1" hidden="1">
      <c r="A23" s="8">
        <v>6</v>
      </c>
      <c r="B23" s="35" t="s">
        <v>91</v>
      </c>
      <c r="C23" s="15">
        <f t="shared" si="2"/>
        <v>0</v>
      </c>
      <c r="D23" s="10"/>
      <c r="E23" s="10"/>
      <c r="F23" s="10"/>
      <c r="G23" s="11">
        <f t="shared" si="0"/>
        <v>0</v>
      </c>
      <c r="H23" s="15" t="s">
        <v>36</v>
      </c>
      <c r="I23" s="65">
        <v>120</v>
      </c>
      <c r="J23" s="65">
        <v>180</v>
      </c>
      <c r="K23" s="26"/>
      <c r="L23" t="s">
        <v>83</v>
      </c>
    </row>
    <row r="24" spans="1:11" ht="25.5" customHeight="1" hidden="1">
      <c r="A24" s="8">
        <v>7</v>
      </c>
      <c r="B24" s="35" t="s">
        <v>84</v>
      </c>
      <c r="C24" s="15">
        <f t="shared" si="2"/>
        <v>0</v>
      </c>
      <c r="D24" s="10"/>
      <c r="E24" s="10"/>
      <c r="F24" s="10"/>
      <c r="G24" s="11">
        <f t="shared" si="0"/>
        <v>0</v>
      </c>
      <c r="H24" s="65" t="s">
        <v>23</v>
      </c>
      <c r="I24" s="65">
        <v>500</v>
      </c>
      <c r="J24" s="65">
        <v>80</v>
      </c>
      <c r="K24" s="26"/>
    </row>
    <row r="25" spans="1:11" ht="25.5" customHeight="1" hidden="1">
      <c r="A25" s="8">
        <v>8</v>
      </c>
      <c r="B25" s="35" t="s">
        <v>92</v>
      </c>
      <c r="C25" s="15">
        <f t="shared" si="2"/>
        <v>0</v>
      </c>
      <c r="D25" s="10"/>
      <c r="E25" s="10"/>
      <c r="F25" s="10"/>
      <c r="G25" s="11">
        <f t="shared" si="0"/>
        <v>0</v>
      </c>
      <c r="H25" s="65" t="s">
        <v>36</v>
      </c>
      <c r="I25" s="65">
        <v>146</v>
      </c>
      <c r="J25" s="65">
        <v>100</v>
      </c>
      <c r="K25" s="26"/>
    </row>
    <row r="26" spans="1:11" ht="25.5" customHeight="1" hidden="1">
      <c r="A26" s="8">
        <v>9</v>
      </c>
      <c r="B26" s="35" t="s">
        <v>25</v>
      </c>
      <c r="C26" s="15">
        <f t="shared" si="2"/>
        <v>0</v>
      </c>
      <c r="D26" s="10"/>
      <c r="E26" s="10"/>
      <c r="F26" s="10"/>
      <c r="G26" s="11">
        <f t="shared" si="0"/>
        <v>0</v>
      </c>
      <c r="H26" s="65" t="s">
        <v>36</v>
      </c>
      <c r="I26" s="65">
        <v>4450</v>
      </c>
      <c r="J26" s="65">
        <v>30</v>
      </c>
      <c r="K26" s="26"/>
    </row>
    <row r="27" spans="1:11" ht="25.5" customHeight="1" hidden="1">
      <c r="A27" s="8">
        <v>10</v>
      </c>
      <c r="B27" s="35" t="s">
        <v>93</v>
      </c>
      <c r="C27" s="15">
        <f t="shared" si="2"/>
        <v>0</v>
      </c>
      <c r="D27" s="10"/>
      <c r="E27" s="10"/>
      <c r="F27" s="10"/>
      <c r="G27" s="11">
        <f t="shared" si="0"/>
        <v>0</v>
      </c>
      <c r="H27" s="65" t="s">
        <v>94</v>
      </c>
      <c r="I27" s="65">
        <v>6</v>
      </c>
      <c r="J27" s="65">
        <v>1500</v>
      </c>
      <c r="K27" s="26"/>
    </row>
    <row r="28" spans="1:11" ht="25.5" customHeight="1" hidden="1">
      <c r="A28" s="8">
        <v>11</v>
      </c>
      <c r="B28" s="35" t="s">
        <v>95</v>
      </c>
      <c r="C28" s="15">
        <f t="shared" si="2"/>
        <v>0</v>
      </c>
      <c r="D28" s="15"/>
      <c r="E28" s="15"/>
      <c r="F28" s="15"/>
      <c r="G28" s="11">
        <f t="shared" si="0"/>
        <v>0</v>
      </c>
      <c r="H28" s="15" t="s">
        <v>94</v>
      </c>
      <c r="I28" s="15">
        <v>6</v>
      </c>
      <c r="J28" s="15">
        <v>1500</v>
      </c>
      <c r="K28" s="26"/>
    </row>
    <row r="29" spans="1:11" ht="25.5" customHeight="1" hidden="1">
      <c r="A29" s="8">
        <v>12</v>
      </c>
      <c r="B29" s="35" t="s">
        <v>96</v>
      </c>
      <c r="C29" s="15">
        <f t="shared" si="2"/>
        <v>0</v>
      </c>
      <c r="D29" s="15"/>
      <c r="E29" s="15"/>
      <c r="F29" s="15"/>
      <c r="G29" s="11">
        <f t="shared" si="0"/>
        <v>0</v>
      </c>
      <c r="H29" s="15" t="s">
        <v>94</v>
      </c>
      <c r="I29" s="15">
        <v>2</v>
      </c>
      <c r="J29" s="15">
        <v>2000</v>
      </c>
      <c r="K29" s="26"/>
    </row>
    <row r="30" spans="1:12" ht="25.5" customHeight="1">
      <c r="A30" s="6" t="s">
        <v>16</v>
      </c>
      <c r="B30" s="67" t="s">
        <v>97</v>
      </c>
      <c r="C30" s="65">
        <f>C31+C32+C33+C34+C35</f>
        <v>58.7605</v>
      </c>
      <c r="D30" s="65"/>
      <c r="E30" s="65"/>
      <c r="F30" s="65"/>
      <c r="G30" s="65">
        <f t="shared" si="0"/>
        <v>58.7605</v>
      </c>
      <c r="H30" s="65"/>
      <c r="I30" s="65"/>
      <c r="J30" s="65"/>
      <c r="K30" s="26"/>
      <c r="L30" s="55"/>
    </row>
    <row r="31" spans="1:13" ht="25.5" customHeight="1">
      <c r="A31" s="6"/>
      <c r="B31" s="67" t="s">
        <v>77</v>
      </c>
      <c r="C31" s="65">
        <f>I31*J31/10000</f>
        <v>26.175</v>
      </c>
      <c r="D31" s="65"/>
      <c r="E31" s="65"/>
      <c r="F31" s="65"/>
      <c r="G31" s="65">
        <f aca="true" t="shared" si="3" ref="G31:G56">SUM(C31:F31)</f>
        <v>26.175</v>
      </c>
      <c r="H31" s="65" t="s">
        <v>36</v>
      </c>
      <c r="I31" s="65">
        <f>1701+44</f>
        <v>1745</v>
      </c>
      <c r="J31" s="65">
        <v>150</v>
      </c>
      <c r="K31" s="26"/>
      <c r="L31" s="55"/>
      <c r="M31">
        <f>I31*J31</f>
        <v>261750</v>
      </c>
    </row>
    <row r="32" spans="1:13" ht="25.5" customHeight="1">
      <c r="A32" s="6"/>
      <c r="B32" s="67" t="s">
        <v>98</v>
      </c>
      <c r="C32" s="65">
        <f>I32*J32/10000</f>
        <v>9.88</v>
      </c>
      <c r="D32" s="65"/>
      <c r="E32" s="65"/>
      <c r="F32" s="65"/>
      <c r="G32" s="65">
        <f t="shared" si="3"/>
        <v>9.88</v>
      </c>
      <c r="H32" s="65" t="s">
        <v>36</v>
      </c>
      <c r="I32" s="65">
        <f>4172-268-634-633-167</f>
        <v>2470</v>
      </c>
      <c r="J32" s="65">
        <v>40</v>
      </c>
      <c r="K32" s="26"/>
      <c r="L32" s="55"/>
      <c r="M32">
        <f aca="true" t="shared" si="4" ref="M32:M49">I32*J32</f>
        <v>98800</v>
      </c>
    </row>
    <row r="33" spans="1:13" ht="25.5" customHeight="1">
      <c r="A33" s="6"/>
      <c r="B33" s="67" t="s">
        <v>99</v>
      </c>
      <c r="C33" s="65">
        <f>I33*J33/10000</f>
        <v>8.92</v>
      </c>
      <c r="D33" s="65"/>
      <c r="E33" s="65"/>
      <c r="F33" s="65"/>
      <c r="G33" s="65">
        <f t="shared" si="3"/>
        <v>8.92</v>
      </c>
      <c r="H33" s="65" t="s">
        <v>36</v>
      </c>
      <c r="I33" s="65">
        <v>2230</v>
      </c>
      <c r="J33" s="65">
        <v>40</v>
      </c>
      <c r="K33" s="26"/>
      <c r="L33" s="55"/>
      <c r="M33">
        <f t="shared" si="4"/>
        <v>89200</v>
      </c>
    </row>
    <row r="34" spans="1:13" ht="25.5" customHeight="1">
      <c r="A34" s="6"/>
      <c r="B34" s="67" t="s">
        <v>25</v>
      </c>
      <c r="C34" s="65">
        <f>I34*J34/10000</f>
        <v>6.1075</v>
      </c>
      <c r="D34" s="65"/>
      <c r="E34" s="65"/>
      <c r="F34" s="65"/>
      <c r="G34" s="65">
        <f t="shared" si="3"/>
        <v>6.1075</v>
      </c>
      <c r="H34" s="65" t="s">
        <v>36</v>
      </c>
      <c r="I34" s="65">
        <f>1701+44</f>
        <v>1745</v>
      </c>
      <c r="J34" s="65">
        <v>35</v>
      </c>
      <c r="K34" s="26"/>
      <c r="L34" s="55"/>
      <c r="M34">
        <f t="shared" si="4"/>
        <v>61075</v>
      </c>
    </row>
    <row r="35" spans="1:13" ht="25.5" customHeight="1">
      <c r="A35" s="6"/>
      <c r="B35" s="67" t="s">
        <v>78</v>
      </c>
      <c r="C35" s="65">
        <f>I35*J35/10000</f>
        <v>7.678</v>
      </c>
      <c r="D35" s="65"/>
      <c r="E35" s="65"/>
      <c r="F35" s="65"/>
      <c r="G35" s="65">
        <f t="shared" si="3"/>
        <v>7.678</v>
      </c>
      <c r="H35" s="65" t="s">
        <v>100</v>
      </c>
      <c r="I35" s="65">
        <f>1745*0.8</f>
        <v>1396</v>
      </c>
      <c r="J35" s="65">
        <v>55</v>
      </c>
      <c r="K35" s="26"/>
      <c r="L35" s="55" t="s">
        <v>101</v>
      </c>
      <c r="M35">
        <f t="shared" si="4"/>
        <v>76780</v>
      </c>
    </row>
    <row r="36" spans="1:13" ht="25.5" customHeight="1">
      <c r="A36" s="6" t="s">
        <v>19</v>
      </c>
      <c r="B36" s="67" t="s">
        <v>102</v>
      </c>
      <c r="C36" s="65">
        <f>C37+C41+C46</f>
        <v>658.4208</v>
      </c>
      <c r="D36" s="65"/>
      <c r="E36" s="65"/>
      <c r="F36" s="65"/>
      <c r="G36" s="65">
        <f t="shared" si="3"/>
        <v>658.4208</v>
      </c>
      <c r="H36" s="68"/>
      <c r="I36" s="65"/>
      <c r="J36" s="65"/>
      <c r="K36" s="26"/>
      <c r="L36" s="55"/>
      <c r="M36">
        <f t="shared" si="4"/>
        <v>0</v>
      </c>
    </row>
    <row r="37" spans="1:13" ht="25.5" customHeight="1">
      <c r="A37" s="6">
        <v>1</v>
      </c>
      <c r="B37" s="67" t="s">
        <v>103</v>
      </c>
      <c r="C37" s="65">
        <f>C38+C39+C40</f>
        <v>184.39079999999998</v>
      </c>
      <c r="D37" s="65"/>
      <c r="E37" s="65"/>
      <c r="F37" s="65"/>
      <c r="G37" s="65">
        <f t="shared" si="3"/>
        <v>184.39079999999998</v>
      </c>
      <c r="I37" s="65"/>
      <c r="J37" s="65"/>
      <c r="K37" s="26"/>
      <c r="L37" s="55"/>
      <c r="M37">
        <f t="shared" si="4"/>
        <v>0</v>
      </c>
    </row>
    <row r="38" spans="1:13" ht="25.5" customHeight="1">
      <c r="A38" s="6"/>
      <c r="B38" s="67" t="s">
        <v>76</v>
      </c>
      <c r="C38" s="65">
        <f>I38*J38/10000</f>
        <v>120.78</v>
      </c>
      <c r="D38" s="65"/>
      <c r="E38" s="65"/>
      <c r="F38" s="65"/>
      <c r="G38" s="65">
        <f t="shared" si="3"/>
        <v>120.78</v>
      </c>
      <c r="H38" s="65" t="s">
        <v>36</v>
      </c>
      <c r="I38" s="65">
        <f>8700-282-366</f>
        <v>8052</v>
      </c>
      <c r="J38" s="65">
        <v>150</v>
      </c>
      <c r="K38" s="26"/>
      <c r="L38" s="55"/>
      <c r="M38">
        <f t="shared" si="4"/>
        <v>1207800</v>
      </c>
    </row>
    <row r="39" spans="1:13" ht="25.5" customHeight="1">
      <c r="A39" s="6"/>
      <c r="B39" s="67" t="s">
        <v>25</v>
      </c>
      <c r="C39" s="65">
        <f>I39*J39/10000</f>
        <v>28.182</v>
      </c>
      <c r="D39" s="65"/>
      <c r="E39" s="65"/>
      <c r="F39" s="65"/>
      <c r="G39" s="65">
        <f t="shared" si="3"/>
        <v>28.182</v>
      </c>
      <c r="H39" s="65" t="s">
        <v>36</v>
      </c>
      <c r="I39" s="65">
        <v>8052</v>
      </c>
      <c r="J39" s="65">
        <v>35</v>
      </c>
      <c r="K39" s="26"/>
      <c r="L39" s="55"/>
      <c r="M39">
        <f t="shared" si="4"/>
        <v>281820</v>
      </c>
    </row>
    <row r="40" spans="1:13" ht="25.5" customHeight="1">
      <c r="A40" s="6"/>
      <c r="B40" s="67" t="s">
        <v>78</v>
      </c>
      <c r="C40" s="65">
        <f>I40*J40/10000</f>
        <v>35.4288</v>
      </c>
      <c r="D40" s="65"/>
      <c r="E40" s="65"/>
      <c r="F40" s="65"/>
      <c r="G40" s="65">
        <f t="shared" si="3"/>
        <v>35.4288</v>
      </c>
      <c r="H40" s="65" t="s">
        <v>100</v>
      </c>
      <c r="I40" s="65">
        <f>8052*0.8</f>
        <v>6441.6</v>
      </c>
      <c r="J40" s="65">
        <v>55</v>
      </c>
      <c r="K40" s="26"/>
      <c r="L40" s="55"/>
      <c r="M40">
        <f t="shared" si="4"/>
        <v>354288</v>
      </c>
    </row>
    <row r="41" spans="1:13" ht="25.5" customHeight="1">
      <c r="A41" s="6">
        <v>2</v>
      </c>
      <c r="B41" s="67" t="s">
        <v>104</v>
      </c>
      <c r="C41" s="65">
        <f>C42+C43+C44+C45</f>
        <v>370.98</v>
      </c>
      <c r="D41" s="65"/>
      <c r="E41" s="65"/>
      <c r="F41" s="65"/>
      <c r="G41" s="65">
        <f t="shared" si="3"/>
        <v>370.98</v>
      </c>
      <c r="H41" s="65"/>
      <c r="I41" s="65"/>
      <c r="J41" s="65"/>
      <c r="K41" s="26"/>
      <c r="L41" s="55"/>
      <c r="M41">
        <f t="shared" si="4"/>
        <v>0</v>
      </c>
    </row>
    <row r="42" spans="1:13" ht="25.5" customHeight="1">
      <c r="A42" s="6"/>
      <c r="B42" s="67" t="s">
        <v>105</v>
      </c>
      <c r="C42" s="65">
        <f>I42*J42/10000</f>
        <v>117</v>
      </c>
      <c r="D42" s="65"/>
      <c r="E42" s="65"/>
      <c r="F42" s="65"/>
      <c r="G42" s="65">
        <f t="shared" si="3"/>
        <v>117</v>
      </c>
      <c r="H42" s="65" t="s">
        <v>36</v>
      </c>
      <c r="I42" s="65">
        <f>15*520</f>
        <v>7800</v>
      </c>
      <c r="J42" s="65">
        <f>J38</f>
        <v>150</v>
      </c>
      <c r="K42" s="26"/>
      <c r="L42" s="55"/>
      <c r="M42">
        <f t="shared" si="4"/>
        <v>1170000</v>
      </c>
    </row>
    <row r="43" spans="1:13" ht="25.5" customHeight="1">
      <c r="A43" s="6"/>
      <c r="B43" s="67" t="s">
        <v>106</v>
      </c>
      <c r="C43" s="65">
        <f>I43*J43/10000</f>
        <v>126</v>
      </c>
      <c r="D43" s="65"/>
      <c r="E43" s="65"/>
      <c r="F43" s="65"/>
      <c r="G43" s="65">
        <f t="shared" si="3"/>
        <v>126</v>
      </c>
      <c r="H43" s="65" t="s">
        <v>36</v>
      </c>
      <c r="I43" s="65">
        <f>420*20</f>
        <v>8400</v>
      </c>
      <c r="J43" s="65">
        <v>150</v>
      </c>
      <c r="K43" s="26"/>
      <c r="L43" s="55"/>
      <c r="M43">
        <f t="shared" si="4"/>
        <v>1260000</v>
      </c>
    </row>
    <row r="44" spans="1:13" ht="25.5" customHeight="1">
      <c r="A44" s="6"/>
      <c r="B44" s="67" t="s">
        <v>25</v>
      </c>
      <c r="C44" s="65">
        <f>I44*J44/10000</f>
        <v>56.7</v>
      </c>
      <c r="D44" s="65"/>
      <c r="E44" s="65"/>
      <c r="F44" s="65"/>
      <c r="G44" s="65">
        <f t="shared" si="3"/>
        <v>56.7</v>
      </c>
      <c r="H44" s="65" t="s">
        <v>36</v>
      </c>
      <c r="I44" s="65">
        <f>I43+I42</f>
        <v>16200</v>
      </c>
      <c r="J44" s="65">
        <v>35</v>
      </c>
      <c r="K44" s="26"/>
      <c r="L44" s="55"/>
      <c r="M44">
        <f t="shared" si="4"/>
        <v>567000</v>
      </c>
    </row>
    <row r="45" spans="1:13" ht="25.5" customHeight="1">
      <c r="A45" s="6"/>
      <c r="B45" s="67" t="s">
        <v>78</v>
      </c>
      <c r="C45" s="65">
        <f>I45*J45/10000</f>
        <v>71.28</v>
      </c>
      <c r="D45" s="65"/>
      <c r="E45" s="65"/>
      <c r="F45" s="65"/>
      <c r="G45" s="65">
        <f t="shared" si="3"/>
        <v>71.28</v>
      </c>
      <c r="H45" s="65" t="s">
        <v>100</v>
      </c>
      <c r="I45" s="65">
        <f>(16200)*0.8</f>
        <v>12960</v>
      </c>
      <c r="J45" s="65">
        <v>55</v>
      </c>
      <c r="K45" s="26"/>
      <c r="L45" s="55" t="s">
        <v>101</v>
      </c>
      <c r="M45">
        <f t="shared" si="4"/>
        <v>712800</v>
      </c>
    </row>
    <row r="46" spans="1:13" ht="25.5" customHeight="1">
      <c r="A46" s="6">
        <v>3</v>
      </c>
      <c r="B46" s="67" t="s">
        <v>107</v>
      </c>
      <c r="C46" s="65">
        <f>C47+C48+C49</f>
        <v>103.05</v>
      </c>
      <c r="D46" s="65"/>
      <c r="E46" s="65"/>
      <c r="F46" s="65"/>
      <c r="G46" s="65">
        <f t="shared" si="3"/>
        <v>103.05</v>
      </c>
      <c r="H46" s="65"/>
      <c r="I46" s="65"/>
      <c r="J46" s="65"/>
      <c r="K46" s="26"/>
      <c r="L46" s="55"/>
      <c r="M46">
        <f t="shared" si="4"/>
        <v>0</v>
      </c>
    </row>
    <row r="47" spans="1:13" ht="25.5" customHeight="1">
      <c r="A47" s="6"/>
      <c r="B47" s="67" t="s">
        <v>76</v>
      </c>
      <c r="C47" s="65">
        <f>I47*J47/10000</f>
        <v>67.5</v>
      </c>
      <c r="D47" s="65"/>
      <c r="E47" s="65"/>
      <c r="F47" s="65"/>
      <c r="G47" s="65">
        <f t="shared" si="3"/>
        <v>67.5</v>
      </c>
      <c r="H47" s="65" t="s">
        <v>36</v>
      </c>
      <c r="I47" s="65">
        <f>900*5</f>
        <v>4500</v>
      </c>
      <c r="J47" s="65">
        <v>150</v>
      </c>
      <c r="K47" s="26"/>
      <c r="L47" s="55"/>
      <c r="M47">
        <f t="shared" si="4"/>
        <v>675000</v>
      </c>
    </row>
    <row r="48" spans="1:13" ht="25.5" customHeight="1">
      <c r="A48" s="6"/>
      <c r="B48" s="67" t="s">
        <v>25</v>
      </c>
      <c r="C48" s="65">
        <f>I48*J48/10000</f>
        <v>15.75</v>
      </c>
      <c r="D48" s="65"/>
      <c r="E48" s="65"/>
      <c r="F48" s="65"/>
      <c r="G48" s="65">
        <f t="shared" si="3"/>
        <v>15.75</v>
      </c>
      <c r="H48" s="65" t="s">
        <v>36</v>
      </c>
      <c r="I48" s="65">
        <v>4500</v>
      </c>
      <c r="J48" s="65">
        <v>35</v>
      </c>
      <c r="K48" s="26"/>
      <c r="L48" s="55"/>
      <c r="M48">
        <f t="shared" si="4"/>
        <v>157500</v>
      </c>
    </row>
    <row r="49" spans="1:13" ht="25.5" customHeight="1">
      <c r="A49" s="6"/>
      <c r="B49" s="67" t="s">
        <v>78</v>
      </c>
      <c r="C49" s="65">
        <f>I49*J49/10000</f>
        <v>19.8</v>
      </c>
      <c r="D49" s="65"/>
      <c r="E49" s="65"/>
      <c r="F49" s="65"/>
      <c r="G49" s="65">
        <f t="shared" si="3"/>
        <v>19.8</v>
      </c>
      <c r="H49" s="65" t="s">
        <v>100</v>
      </c>
      <c r="I49" s="65">
        <f>4500*0.8</f>
        <v>3600</v>
      </c>
      <c r="J49" s="65">
        <v>55</v>
      </c>
      <c r="K49" s="26"/>
      <c r="L49" s="55"/>
      <c r="M49">
        <f t="shared" si="4"/>
        <v>198000</v>
      </c>
    </row>
    <row r="50" spans="1:12" ht="25.5" customHeight="1">
      <c r="A50" s="6" t="s">
        <v>60</v>
      </c>
      <c r="B50" s="69" t="s">
        <v>10</v>
      </c>
      <c r="C50" s="70"/>
      <c r="D50" s="70"/>
      <c r="E50" s="70"/>
      <c r="F50" s="65">
        <f>SUM(F51:F56)</f>
        <v>49.982654784</v>
      </c>
      <c r="G50" s="65">
        <f t="shared" si="3"/>
        <v>49.982654784</v>
      </c>
      <c r="H50" s="65"/>
      <c r="I50" s="71"/>
      <c r="J50" s="71"/>
      <c r="K50" s="26">
        <f>G50/G58*100</f>
        <v>6.032712330523507</v>
      </c>
      <c r="L50" s="55">
        <f aca="true" t="shared" si="5" ref="L50:L57">I50*J50/10000</f>
        <v>0</v>
      </c>
    </row>
    <row r="51" spans="1:12" ht="25.5" customHeight="1">
      <c r="A51" s="24">
        <v>1</v>
      </c>
      <c r="B51" s="35" t="s">
        <v>61</v>
      </c>
      <c r="C51" s="6"/>
      <c r="D51" s="6"/>
      <c r="E51" s="6"/>
      <c r="F51" s="15">
        <f>20/1000*G5</f>
        <v>14.343626</v>
      </c>
      <c r="G51" s="15">
        <f t="shared" si="3"/>
        <v>14.343626</v>
      </c>
      <c r="H51" s="65"/>
      <c r="I51" s="72">
        <f>F51/G5</f>
        <v>0.02</v>
      </c>
      <c r="J51" s="50"/>
      <c r="K51" s="29"/>
      <c r="L51" s="55">
        <f t="shared" si="5"/>
        <v>0</v>
      </c>
    </row>
    <row r="52" spans="1:12" ht="25.5" customHeight="1">
      <c r="A52" s="24">
        <v>2</v>
      </c>
      <c r="B52" s="35" t="s">
        <v>63</v>
      </c>
      <c r="C52" s="38"/>
      <c r="D52" s="38"/>
      <c r="E52" s="38"/>
      <c r="F52" s="15">
        <f>((16.5*(1000-500)+(G5-500)*(30.1-16.5))/(1000-500))*0.9</f>
        <v>20.166598224</v>
      </c>
      <c r="G52" s="15">
        <f t="shared" si="3"/>
        <v>20.166598224</v>
      </c>
      <c r="H52" s="65"/>
      <c r="I52" s="72">
        <f>F52/G5</f>
        <v>0.028119247147130023</v>
      </c>
      <c r="J52" s="51"/>
      <c r="K52" s="29"/>
      <c r="L52" s="55">
        <f t="shared" si="5"/>
        <v>0</v>
      </c>
    </row>
    <row r="53" spans="1:12" ht="25.5" customHeight="1">
      <c r="A53" s="24">
        <v>3</v>
      </c>
      <c r="B53" s="34" t="s">
        <v>108</v>
      </c>
      <c r="C53" s="6"/>
      <c r="D53" s="6"/>
      <c r="E53" s="6"/>
      <c r="F53" s="15">
        <f>G5*0.0074</f>
        <v>5.30714162</v>
      </c>
      <c r="G53" s="15">
        <f t="shared" si="3"/>
        <v>5.30714162</v>
      </c>
      <c r="H53" s="65"/>
      <c r="I53" s="72">
        <f>F53/G5</f>
        <v>0.007400000000000001</v>
      </c>
      <c r="J53" s="42"/>
      <c r="K53" s="29"/>
      <c r="L53" s="55">
        <f t="shared" si="5"/>
        <v>0</v>
      </c>
    </row>
    <row r="54" spans="1:12" ht="25.5" customHeight="1">
      <c r="A54" s="24">
        <v>4</v>
      </c>
      <c r="B54" s="35" t="s">
        <v>109</v>
      </c>
      <c r="C54" s="6"/>
      <c r="D54" s="6"/>
      <c r="E54" s="6"/>
      <c r="F54" s="15">
        <v>5</v>
      </c>
      <c r="G54" s="15">
        <f t="shared" si="3"/>
        <v>5</v>
      </c>
      <c r="H54" s="65"/>
      <c r="I54" s="72">
        <f>F54/G5</f>
        <v>0.006971737829750999</v>
      </c>
      <c r="J54" s="42"/>
      <c r="K54" s="29"/>
      <c r="L54" s="55">
        <f t="shared" si="5"/>
        <v>0</v>
      </c>
    </row>
    <row r="55" spans="1:12" ht="25.5" customHeight="1">
      <c r="A55" s="24">
        <v>7</v>
      </c>
      <c r="B55" s="35" t="s">
        <v>69</v>
      </c>
      <c r="C55" s="38"/>
      <c r="D55" s="38"/>
      <c r="E55" s="38"/>
      <c r="F55" s="15">
        <f>((G5-1000)*0.0035+2.75+2.8+1)*0.8</f>
        <v>4.44810764</v>
      </c>
      <c r="G55" s="15">
        <f t="shared" si="3"/>
        <v>4.44810764</v>
      </c>
      <c r="H55" s="65"/>
      <c r="I55" s="72">
        <f>F55/G5</f>
        <v>0.006202208060918488</v>
      </c>
      <c r="J55" s="42"/>
      <c r="K55" s="52"/>
      <c r="L55" s="55">
        <f t="shared" si="5"/>
        <v>0</v>
      </c>
    </row>
    <row r="56" spans="1:12" ht="25.5" customHeight="1">
      <c r="A56" s="24">
        <v>8</v>
      </c>
      <c r="B56" s="35" t="s">
        <v>70</v>
      </c>
      <c r="C56" s="40"/>
      <c r="D56" s="29"/>
      <c r="E56" s="41"/>
      <c r="F56" s="15">
        <f>G5*0.001</f>
        <v>0.7171813</v>
      </c>
      <c r="G56" s="15">
        <f t="shared" si="3"/>
        <v>0.7171813</v>
      </c>
      <c r="H56" s="65"/>
      <c r="I56" s="72">
        <f>F56/G5</f>
        <v>0.001</v>
      </c>
      <c r="J56" s="42"/>
      <c r="K56" s="35"/>
      <c r="L56" s="55">
        <f t="shared" si="5"/>
        <v>0</v>
      </c>
    </row>
    <row r="57" spans="1:12" ht="25.5" customHeight="1">
      <c r="A57" s="35" t="s">
        <v>27</v>
      </c>
      <c r="B57" s="35" t="s">
        <v>110</v>
      </c>
      <c r="C57" s="40"/>
      <c r="D57" s="29"/>
      <c r="E57" s="41"/>
      <c r="F57" s="15">
        <f>(G5+G50)*0.08</f>
        <v>61.37311638272</v>
      </c>
      <c r="G57" s="15">
        <f>F57</f>
        <v>61.37311638272</v>
      </c>
      <c r="H57" s="15"/>
      <c r="I57" s="72"/>
      <c r="J57" s="42"/>
      <c r="K57" s="26">
        <f>G57/G58*100</f>
        <v>7.407496811938233</v>
      </c>
      <c r="L57" s="55">
        <f t="shared" si="5"/>
        <v>0</v>
      </c>
    </row>
    <row r="58" spans="1:11" ht="25.5" customHeight="1">
      <c r="A58" s="44"/>
      <c r="B58" s="45" t="s">
        <v>30</v>
      </c>
      <c r="C58" s="15">
        <f>C5+C50+C57</f>
        <v>717.1813</v>
      </c>
      <c r="D58" s="15"/>
      <c r="E58" s="15"/>
      <c r="F58" s="15">
        <f>F5+F50+F57</f>
        <v>111.35577116671999</v>
      </c>
      <c r="G58" s="15">
        <f>G5+G50+G57-0.01</f>
        <v>828.52707116672</v>
      </c>
      <c r="H58" s="15"/>
      <c r="I58" s="15"/>
      <c r="J58" s="15"/>
      <c r="K58" s="21">
        <f>K5+K50+K57</f>
        <v>100.00120696116613</v>
      </c>
    </row>
  </sheetData>
  <sheetProtection/>
  <mergeCells count="7">
    <mergeCell ref="A1:K1"/>
    <mergeCell ref="A2:K2"/>
    <mergeCell ref="C3:G3"/>
    <mergeCell ref="H3:J3"/>
    <mergeCell ref="A3:A4"/>
    <mergeCell ref="B3:B4"/>
    <mergeCell ref="K3:K4"/>
  </mergeCells>
  <printOptions/>
  <pageMargins left="0.31" right="0.2" top="0.49" bottom="0.59" header="0.33" footer="0.4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07"/>
  <sheetViews>
    <sheetView view="pageBreakPreview" zoomScaleSheetLayoutView="100" workbookViewId="0" topLeftCell="A72">
      <selection activeCell="E56" sqref="E56"/>
    </sheetView>
  </sheetViews>
  <sheetFormatPr defaultColWidth="9.00390625" defaultRowHeight="14.25"/>
  <cols>
    <col min="1" max="1" width="6.00390625" style="0" customWidth="1"/>
    <col min="2" max="2" width="14.375" style="1" customWidth="1"/>
    <col min="3" max="3" width="8.625" style="0" customWidth="1"/>
    <col min="4" max="4" width="7.375" style="0" customWidth="1"/>
    <col min="5" max="5" width="7.125" style="0" customWidth="1"/>
    <col min="6" max="6" width="7.375" style="0" customWidth="1"/>
    <col min="7" max="7" width="8.375" style="0" customWidth="1"/>
    <col min="8" max="8" width="4.00390625" style="0" customWidth="1"/>
    <col min="9" max="9" width="9.25390625" style="0" customWidth="1"/>
    <col min="10" max="10" width="10.50390625" style="0" customWidth="1"/>
    <col min="11" max="11" width="5.50390625" style="0" customWidth="1"/>
  </cols>
  <sheetData>
    <row r="1" spans="1:11" ht="24" customHeight="1">
      <c r="A1" s="2" t="s">
        <v>73</v>
      </c>
      <c r="B1" s="3"/>
      <c r="C1" s="2"/>
      <c r="D1" s="2"/>
      <c r="E1" s="2"/>
      <c r="F1" s="2"/>
      <c r="G1" s="2"/>
      <c r="H1" s="2"/>
      <c r="I1" s="2"/>
      <c r="J1" s="2"/>
      <c r="K1" s="2"/>
    </row>
    <row r="2" spans="1:11" ht="21" customHeight="1">
      <c r="A2" s="4" t="s">
        <v>111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" customHeight="1">
      <c r="A3" s="5" t="s">
        <v>2</v>
      </c>
      <c r="B3" s="6" t="s">
        <v>3</v>
      </c>
      <c r="C3" s="7" t="s">
        <v>75</v>
      </c>
      <c r="D3" s="7"/>
      <c r="E3" s="7"/>
      <c r="F3" s="7"/>
      <c r="G3" s="7"/>
      <c r="H3" s="7" t="s">
        <v>5</v>
      </c>
      <c r="I3" s="7"/>
      <c r="J3" s="7"/>
      <c r="K3" s="24" t="s">
        <v>6</v>
      </c>
    </row>
    <row r="4" spans="1:11" ht="24" customHeight="1">
      <c r="A4" s="7"/>
      <c r="B4" s="6"/>
      <c r="C4" s="6" t="s">
        <v>40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34</v>
      </c>
      <c r="K4" s="6"/>
    </row>
    <row r="5" spans="1:11" ht="25.5" customHeight="1">
      <c r="A5" s="8" t="s">
        <v>14</v>
      </c>
      <c r="B5" s="9" t="s">
        <v>15</v>
      </c>
      <c r="C5" s="10">
        <f>C6</f>
        <v>5573.106391</v>
      </c>
      <c r="D5" s="10">
        <f>D6</f>
        <v>132.28</v>
      </c>
      <c r="E5" s="10">
        <f>E6</f>
        <v>18</v>
      </c>
      <c r="F5" s="10"/>
      <c r="G5" s="11">
        <f aca="true" t="shared" si="0" ref="G5:G23">SUM(C5:F5)</f>
        <v>5723.386391</v>
      </c>
      <c r="H5" s="12"/>
      <c r="I5" s="21"/>
      <c r="J5" s="25"/>
      <c r="K5" s="26">
        <f>G5/G207*100</f>
        <v>85.77896340544088</v>
      </c>
    </row>
    <row r="6" spans="1:15" ht="25.5" customHeight="1">
      <c r="A6" s="8" t="s">
        <v>112</v>
      </c>
      <c r="B6" s="9" t="s">
        <v>113</v>
      </c>
      <c r="C6" s="10">
        <f>C7+C23+C34+C40+C48+C49+C52</f>
        <v>5573.106391</v>
      </c>
      <c r="D6" s="10">
        <f>D7+D23+D34+D40+D48+D49+D52</f>
        <v>132.28</v>
      </c>
      <c r="E6" s="10">
        <f>E7+E23+E34+E40+E48+E49+E52</f>
        <v>18</v>
      </c>
      <c r="F6" s="10"/>
      <c r="G6" s="11">
        <f t="shared" si="0"/>
        <v>5723.386391</v>
      </c>
      <c r="H6" s="12"/>
      <c r="I6" s="21"/>
      <c r="J6" s="25"/>
      <c r="K6" s="26"/>
      <c r="L6" s="55"/>
      <c r="M6" s="28" t="s">
        <v>114</v>
      </c>
      <c r="N6" s="28" t="s">
        <v>12</v>
      </c>
      <c r="O6" s="56" t="s">
        <v>13</v>
      </c>
    </row>
    <row r="7" spans="1:15" ht="25.5" customHeight="1">
      <c r="A7" s="53">
        <v>1</v>
      </c>
      <c r="B7" s="33" t="s">
        <v>115</v>
      </c>
      <c r="C7" s="10">
        <f>SUM(C8:C11)+SUM(C16:C22)</f>
        <v>2015.36896</v>
      </c>
      <c r="D7" s="10"/>
      <c r="E7" s="10"/>
      <c r="F7" s="10"/>
      <c r="G7" s="10">
        <f t="shared" si="0"/>
        <v>2015.36896</v>
      </c>
      <c r="H7" s="15"/>
      <c r="I7" s="15"/>
      <c r="J7" s="15"/>
      <c r="K7" s="26"/>
      <c r="L7" s="55"/>
      <c r="M7" s="28" t="s">
        <v>116</v>
      </c>
      <c r="N7" s="28" t="s">
        <v>100</v>
      </c>
      <c r="O7" s="56" t="e">
        <f>(SUM(#REF!)+#REF!+#REF!+#REF!)*0.5</f>
        <v>#REF!</v>
      </c>
    </row>
    <row r="8" spans="1:15" ht="25.5" customHeight="1">
      <c r="A8" s="16">
        <v>1.1</v>
      </c>
      <c r="B8" s="14" t="s">
        <v>117</v>
      </c>
      <c r="C8" s="15">
        <f>I8*J8/10000</f>
        <v>43.704</v>
      </c>
      <c r="D8" s="15"/>
      <c r="E8" s="15"/>
      <c r="F8" s="15"/>
      <c r="G8" s="15">
        <f t="shared" si="0"/>
        <v>43.704</v>
      </c>
      <c r="H8" s="15" t="s">
        <v>36</v>
      </c>
      <c r="I8" s="15">
        <v>1214</v>
      </c>
      <c r="J8" s="15">
        <v>360</v>
      </c>
      <c r="K8" s="26"/>
      <c r="L8" s="55"/>
      <c r="M8" s="28" t="s">
        <v>118</v>
      </c>
      <c r="N8" s="28" t="s">
        <v>100</v>
      </c>
      <c r="O8" s="56" t="e">
        <f>O7*0.1</f>
        <v>#REF!</v>
      </c>
    </row>
    <row r="9" spans="1:15" ht="25.5" customHeight="1">
      <c r="A9" s="16">
        <v>1.2</v>
      </c>
      <c r="B9" s="14" t="s">
        <v>119</v>
      </c>
      <c r="C9" s="15">
        <f>I9*J9/10000</f>
        <v>68.46896</v>
      </c>
      <c r="D9" s="15"/>
      <c r="E9" s="15"/>
      <c r="F9" s="15"/>
      <c r="G9" s="15">
        <f t="shared" si="0"/>
        <v>68.46896</v>
      </c>
      <c r="H9" s="15" t="s">
        <v>36</v>
      </c>
      <c r="I9" s="15">
        <v>2705</v>
      </c>
      <c r="J9" s="15">
        <v>253.12</v>
      </c>
      <c r="K9" s="26"/>
      <c r="L9" s="55"/>
      <c r="M9" s="28"/>
      <c r="N9" s="28"/>
      <c r="O9" s="56"/>
    </row>
    <row r="10" spans="1:15" ht="25.5" customHeight="1">
      <c r="A10" s="17">
        <v>1.3</v>
      </c>
      <c r="B10" s="14" t="s">
        <v>120</v>
      </c>
      <c r="C10" s="15">
        <f>I10*J10/10000</f>
        <v>20.12</v>
      </c>
      <c r="D10" s="15"/>
      <c r="E10" s="15"/>
      <c r="F10" s="15"/>
      <c r="G10" s="15">
        <f t="shared" si="0"/>
        <v>20.12</v>
      </c>
      <c r="H10" s="15" t="s">
        <v>36</v>
      </c>
      <c r="I10" s="15">
        <v>503</v>
      </c>
      <c r="J10" s="15">
        <v>400</v>
      </c>
      <c r="K10" s="26"/>
      <c r="L10" s="55"/>
      <c r="M10" s="28" t="s">
        <v>121</v>
      </c>
      <c r="N10" s="28" t="s">
        <v>36</v>
      </c>
      <c r="O10" s="56">
        <f>0</f>
        <v>0</v>
      </c>
    </row>
    <row r="11" spans="1:15" ht="25.5" customHeight="1">
      <c r="A11" s="17">
        <v>1.4</v>
      </c>
      <c r="B11" s="14" t="s">
        <v>122</v>
      </c>
      <c r="C11" s="15">
        <f>C12+C13+C14+C15</f>
        <v>839.24</v>
      </c>
      <c r="D11" s="15"/>
      <c r="E11" s="15"/>
      <c r="F11" s="15"/>
      <c r="G11" s="15">
        <f t="shared" si="0"/>
        <v>839.24</v>
      </c>
      <c r="H11" s="15"/>
      <c r="I11" s="15"/>
      <c r="J11" s="15"/>
      <c r="K11" s="26"/>
      <c r="L11" s="55"/>
      <c r="M11" s="57"/>
      <c r="N11" s="57"/>
      <c r="O11" s="58"/>
    </row>
    <row r="12" spans="1:15" ht="25.5" customHeight="1">
      <c r="A12" s="17" t="s">
        <v>123</v>
      </c>
      <c r="B12" s="15" t="s">
        <v>124</v>
      </c>
      <c r="C12" s="15">
        <f aca="true" t="shared" si="1" ref="C12:C22">I12*J12/10000</f>
        <v>135.36</v>
      </c>
      <c r="D12" s="15"/>
      <c r="E12" s="15"/>
      <c r="F12" s="15"/>
      <c r="G12" s="15">
        <f t="shared" si="0"/>
        <v>135.36</v>
      </c>
      <c r="H12" s="15" t="s">
        <v>36</v>
      </c>
      <c r="I12" s="15">
        <v>846</v>
      </c>
      <c r="J12" s="15">
        <v>1600</v>
      </c>
      <c r="K12" s="26"/>
      <c r="L12" s="55"/>
      <c r="M12" s="57"/>
      <c r="N12" s="57"/>
      <c r="O12" s="58"/>
    </row>
    <row r="13" spans="1:15" ht="25.5" customHeight="1">
      <c r="A13" s="16" t="s">
        <v>125</v>
      </c>
      <c r="B13" s="14" t="s">
        <v>120</v>
      </c>
      <c r="C13" s="15">
        <f t="shared" si="1"/>
        <v>63.08</v>
      </c>
      <c r="D13" s="15"/>
      <c r="E13" s="15"/>
      <c r="F13" s="15"/>
      <c r="G13" s="15">
        <f t="shared" si="0"/>
        <v>63.08</v>
      </c>
      <c r="H13" s="15" t="s">
        <v>36</v>
      </c>
      <c r="I13" s="15">
        <v>1577</v>
      </c>
      <c r="J13" s="15">
        <f>J10</f>
        <v>400</v>
      </c>
      <c r="K13" s="26"/>
      <c r="L13" s="55"/>
      <c r="M13" s="57"/>
      <c r="N13" s="57"/>
      <c r="O13" s="58"/>
    </row>
    <row r="14" spans="1:15" ht="25.5" customHeight="1">
      <c r="A14" s="16" t="s">
        <v>126</v>
      </c>
      <c r="B14" s="14" t="s">
        <v>127</v>
      </c>
      <c r="C14" s="15">
        <f t="shared" si="1"/>
        <v>300</v>
      </c>
      <c r="D14" s="15"/>
      <c r="E14" s="15"/>
      <c r="F14" s="15"/>
      <c r="G14" s="15">
        <f t="shared" si="0"/>
        <v>300</v>
      </c>
      <c r="H14" s="15" t="s">
        <v>94</v>
      </c>
      <c r="I14" s="15">
        <v>6</v>
      </c>
      <c r="J14" s="15">
        <v>500000</v>
      </c>
      <c r="K14" s="29"/>
      <c r="L14" s="55"/>
      <c r="M14" s="57"/>
      <c r="N14" s="57"/>
      <c r="O14" s="58"/>
    </row>
    <row r="15" spans="1:15" ht="25.5" customHeight="1">
      <c r="A15" s="6" t="s">
        <v>128</v>
      </c>
      <c r="B15" s="14" t="s">
        <v>129</v>
      </c>
      <c r="C15" s="15">
        <f t="shared" si="1"/>
        <v>340.8</v>
      </c>
      <c r="D15" s="15"/>
      <c r="E15" s="15"/>
      <c r="F15" s="15"/>
      <c r="G15" s="15">
        <f t="shared" si="0"/>
        <v>340.8</v>
      </c>
      <c r="H15" s="15" t="s">
        <v>36</v>
      </c>
      <c r="I15" s="15">
        <v>1136</v>
      </c>
      <c r="J15" s="15">
        <v>3000</v>
      </c>
      <c r="K15" s="29"/>
      <c r="L15" s="55"/>
      <c r="M15" s="57"/>
      <c r="N15" s="57"/>
      <c r="O15" s="58"/>
    </row>
    <row r="16" spans="1:15" ht="25.5" customHeight="1">
      <c r="A16" s="6">
        <v>1.5</v>
      </c>
      <c r="B16" s="14" t="s">
        <v>130</v>
      </c>
      <c r="C16" s="15">
        <f t="shared" si="1"/>
        <v>907.2</v>
      </c>
      <c r="D16" s="15"/>
      <c r="E16" s="15"/>
      <c r="F16" s="15"/>
      <c r="G16" s="15">
        <f t="shared" si="0"/>
        <v>907.2</v>
      </c>
      <c r="H16" s="15" t="s">
        <v>36</v>
      </c>
      <c r="I16" s="15">
        <v>1134</v>
      </c>
      <c r="J16" s="15">
        <v>8000</v>
      </c>
      <c r="K16" s="29"/>
      <c r="L16" s="55"/>
      <c r="M16" s="57"/>
      <c r="N16" s="57"/>
      <c r="O16" s="58"/>
    </row>
    <row r="17" spans="1:15" ht="25.5" customHeight="1">
      <c r="A17" s="6">
        <v>1.6</v>
      </c>
      <c r="B17" s="14" t="s">
        <v>131</v>
      </c>
      <c r="C17" s="15">
        <f t="shared" si="1"/>
        <v>16.276</v>
      </c>
      <c r="D17" s="15"/>
      <c r="E17" s="15"/>
      <c r="F17" s="15"/>
      <c r="G17" s="15">
        <f t="shared" si="0"/>
        <v>16.276</v>
      </c>
      <c r="H17" s="15" t="s">
        <v>36</v>
      </c>
      <c r="I17" s="15">
        <v>626</v>
      </c>
      <c r="J17" s="15">
        <v>260</v>
      </c>
      <c r="K17" s="29"/>
      <c r="L17" s="55"/>
      <c r="M17" s="57"/>
      <c r="N17" s="57"/>
      <c r="O17" s="58"/>
    </row>
    <row r="18" spans="1:15" ht="25.5" customHeight="1">
      <c r="A18" s="6">
        <v>1.7</v>
      </c>
      <c r="B18" s="14" t="s">
        <v>132</v>
      </c>
      <c r="C18" s="15">
        <f t="shared" si="1"/>
        <v>31.84</v>
      </c>
      <c r="D18" s="15"/>
      <c r="E18" s="15"/>
      <c r="F18" s="15"/>
      <c r="G18" s="15">
        <f t="shared" si="0"/>
        <v>31.84</v>
      </c>
      <c r="H18" s="15" t="s">
        <v>36</v>
      </c>
      <c r="I18" s="15">
        <v>199</v>
      </c>
      <c r="J18" s="15">
        <f>J12</f>
        <v>1600</v>
      </c>
      <c r="K18" s="29"/>
      <c r="L18" s="55"/>
      <c r="M18" s="57"/>
      <c r="N18" s="57"/>
      <c r="O18" s="58"/>
    </row>
    <row r="19" spans="1:15" ht="25.5" customHeight="1">
      <c r="A19" s="6">
        <v>1.8</v>
      </c>
      <c r="B19" s="14" t="s">
        <v>133</v>
      </c>
      <c r="C19" s="15">
        <f t="shared" si="1"/>
        <v>77</v>
      </c>
      <c r="D19" s="15"/>
      <c r="E19" s="15"/>
      <c r="F19" s="15"/>
      <c r="G19" s="15">
        <f t="shared" si="0"/>
        <v>77</v>
      </c>
      <c r="H19" s="15" t="s">
        <v>23</v>
      </c>
      <c r="I19" s="15">
        <v>77</v>
      </c>
      <c r="J19" s="15">
        <v>10000</v>
      </c>
      <c r="K19" s="29"/>
      <c r="L19" s="55"/>
      <c r="M19" s="57"/>
      <c r="N19" s="57"/>
      <c r="O19" s="58"/>
    </row>
    <row r="20" spans="1:15" ht="25.5" customHeight="1">
      <c r="A20" s="18">
        <v>1.9</v>
      </c>
      <c r="B20" s="14" t="s">
        <v>134</v>
      </c>
      <c r="C20" s="15">
        <f t="shared" si="1"/>
        <v>9.12</v>
      </c>
      <c r="D20" s="15"/>
      <c r="E20" s="15"/>
      <c r="F20" s="15"/>
      <c r="G20" s="15">
        <f t="shared" si="0"/>
        <v>9.12</v>
      </c>
      <c r="H20" s="15" t="s">
        <v>36</v>
      </c>
      <c r="I20" s="15">
        <v>152</v>
      </c>
      <c r="J20" s="15">
        <v>600</v>
      </c>
      <c r="K20" s="29"/>
      <c r="L20" s="55"/>
      <c r="M20" s="57"/>
      <c r="N20" s="57"/>
      <c r="O20" s="58"/>
    </row>
    <row r="21" spans="1:15" ht="25.5" customHeight="1">
      <c r="A21" s="19">
        <v>1.1</v>
      </c>
      <c r="B21" s="14" t="s">
        <v>135</v>
      </c>
      <c r="C21" s="15">
        <f t="shared" si="1"/>
        <v>1.2</v>
      </c>
      <c r="D21" s="15"/>
      <c r="E21" s="15"/>
      <c r="F21" s="15"/>
      <c r="G21" s="15">
        <f t="shared" si="0"/>
        <v>1.2</v>
      </c>
      <c r="H21" s="15" t="s">
        <v>136</v>
      </c>
      <c r="I21" s="15">
        <v>1</v>
      </c>
      <c r="J21" s="15">
        <v>12000</v>
      </c>
      <c r="K21" s="29"/>
      <c r="L21" s="55"/>
      <c r="M21" s="57"/>
      <c r="N21" s="57"/>
      <c r="O21" s="58"/>
    </row>
    <row r="22" spans="1:15" ht="25.5" customHeight="1">
      <c r="A22" s="19">
        <v>1.11</v>
      </c>
      <c r="B22" s="14" t="s">
        <v>137</v>
      </c>
      <c r="C22" s="15">
        <f t="shared" si="1"/>
        <v>1.2</v>
      </c>
      <c r="D22" s="15"/>
      <c r="E22" s="15"/>
      <c r="F22" s="15"/>
      <c r="G22" s="15">
        <f t="shared" si="0"/>
        <v>1.2</v>
      </c>
      <c r="H22" s="20" t="s">
        <v>138</v>
      </c>
      <c r="I22" s="15">
        <v>1</v>
      </c>
      <c r="J22" s="15">
        <v>12000</v>
      </c>
      <c r="K22" s="29"/>
      <c r="L22" s="55"/>
      <c r="M22" s="57"/>
      <c r="N22" s="57"/>
      <c r="O22" s="58"/>
    </row>
    <row r="23" spans="1:11" ht="25.5" customHeight="1">
      <c r="A23" s="8">
        <v>2</v>
      </c>
      <c r="B23" s="33" t="s">
        <v>139</v>
      </c>
      <c r="C23" s="10"/>
      <c r="D23" s="10">
        <f>SUM(D24:D33)</f>
        <v>132.28</v>
      </c>
      <c r="E23" s="10">
        <f>SUM(E24:E33)</f>
        <v>18</v>
      </c>
      <c r="F23" s="10">
        <f>SUM(F24:F31)</f>
        <v>0</v>
      </c>
      <c r="G23" s="10">
        <f t="shared" si="0"/>
        <v>150.28</v>
      </c>
      <c r="H23" s="10"/>
      <c r="I23" s="10"/>
      <c r="J23" s="15"/>
      <c r="K23" s="26"/>
    </row>
    <row r="24" spans="1:11" ht="25.5" customHeight="1">
      <c r="A24" s="6">
        <v>2.1</v>
      </c>
      <c r="B24" s="14" t="s">
        <v>140</v>
      </c>
      <c r="C24" s="15"/>
      <c r="D24" s="15">
        <f>E24*0.1</f>
        <v>1.8</v>
      </c>
      <c r="E24" s="15">
        <v>18</v>
      </c>
      <c r="F24" s="15"/>
      <c r="G24" s="15">
        <f aca="true" t="shared" si="2" ref="G24:G33">SUM(D24:F24)</f>
        <v>19.8</v>
      </c>
      <c r="H24" s="15" t="s">
        <v>141</v>
      </c>
      <c r="I24" s="15">
        <v>1</v>
      </c>
      <c r="J24" s="15">
        <f>G24*10000</f>
        <v>198000</v>
      </c>
      <c r="K24" s="26"/>
    </row>
    <row r="25" spans="1:11" ht="25.5" customHeight="1">
      <c r="A25" s="6">
        <v>2.2</v>
      </c>
      <c r="B25" s="14" t="s">
        <v>142</v>
      </c>
      <c r="C25" s="15"/>
      <c r="D25" s="15">
        <f aca="true" t="shared" si="3" ref="D25:D33">I25*J25/10000</f>
        <v>20</v>
      </c>
      <c r="E25" s="15"/>
      <c r="F25" s="15"/>
      <c r="G25" s="15">
        <f t="shared" si="2"/>
        <v>20</v>
      </c>
      <c r="H25" s="15" t="s">
        <v>143</v>
      </c>
      <c r="I25" s="15">
        <v>1</v>
      </c>
      <c r="J25" s="15">
        <v>200000</v>
      </c>
      <c r="K25" s="26"/>
    </row>
    <row r="26" spans="1:11" ht="25.5" customHeight="1">
      <c r="A26" s="6">
        <v>2.3</v>
      </c>
      <c r="B26" s="14" t="s">
        <v>144</v>
      </c>
      <c r="C26" s="15"/>
      <c r="D26" s="15">
        <f t="shared" si="3"/>
        <v>16.8</v>
      </c>
      <c r="E26" s="15"/>
      <c r="F26" s="15"/>
      <c r="G26" s="15">
        <f t="shared" si="2"/>
        <v>16.8</v>
      </c>
      <c r="H26" s="15" t="s">
        <v>143</v>
      </c>
      <c r="I26" s="15">
        <v>2</v>
      </c>
      <c r="J26" s="15">
        <v>84000</v>
      </c>
      <c r="K26" s="26"/>
    </row>
    <row r="27" spans="1:11" ht="25.5" customHeight="1">
      <c r="A27" s="6">
        <v>2.4</v>
      </c>
      <c r="B27" s="14" t="s">
        <v>145</v>
      </c>
      <c r="C27" s="15"/>
      <c r="D27" s="15">
        <f t="shared" si="3"/>
        <v>40</v>
      </c>
      <c r="E27" s="15"/>
      <c r="F27" s="15"/>
      <c r="G27" s="15">
        <f t="shared" si="2"/>
        <v>40</v>
      </c>
      <c r="H27" s="15" t="s">
        <v>143</v>
      </c>
      <c r="I27" s="15">
        <v>2</v>
      </c>
      <c r="J27" s="15">
        <v>200000</v>
      </c>
      <c r="K27" s="26"/>
    </row>
    <row r="28" spans="1:11" ht="25.5" customHeight="1">
      <c r="A28" s="6">
        <v>2.5</v>
      </c>
      <c r="B28" s="14" t="s">
        <v>146</v>
      </c>
      <c r="C28" s="15"/>
      <c r="D28" s="15">
        <f t="shared" si="3"/>
        <v>30.5</v>
      </c>
      <c r="E28" s="15"/>
      <c r="F28" s="15"/>
      <c r="G28" s="15">
        <f t="shared" si="2"/>
        <v>30.5</v>
      </c>
      <c r="H28" s="15" t="s">
        <v>147</v>
      </c>
      <c r="I28" s="15">
        <v>122</v>
      </c>
      <c r="J28" s="15">
        <v>2500</v>
      </c>
      <c r="K28" s="26"/>
    </row>
    <row r="29" spans="1:11" ht="25.5" customHeight="1">
      <c r="A29" s="6">
        <v>2.6</v>
      </c>
      <c r="B29" s="14" t="s">
        <v>148</v>
      </c>
      <c r="C29" s="15"/>
      <c r="D29" s="15">
        <f t="shared" si="3"/>
        <v>12.8</v>
      </c>
      <c r="E29" s="15"/>
      <c r="F29" s="15"/>
      <c r="G29" s="15">
        <f t="shared" si="2"/>
        <v>12.8</v>
      </c>
      <c r="H29" s="15" t="s">
        <v>147</v>
      </c>
      <c r="I29" s="15">
        <v>64</v>
      </c>
      <c r="J29" s="15">
        <v>2000</v>
      </c>
      <c r="K29" s="26"/>
    </row>
    <row r="30" spans="1:11" ht="25.5" customHeight="1">
      <c r="A30" s="6">
        <v>2.7</v>
      </c>
      <c r="B30" s="14" t="s">
        <v>149</v>
      </c>
      <c r="C30" s="15"/>
      <c r="D30" s="15">
        <f t="shared" si="3"/>
        <v>0.7</v>
      </c>
      <c r="E30" s="15"/>
      <c r="F30" s="15"/>
      <c r="G30" s="15">
        <f t="shared" si="2"/>
        <v>0.7</v>
      </c>
      <c r="H30" s="15" t="s">
        <v>147</v>
      </c>
      <c r="I30" s="15">
        <v>7</v>
      </c>
      <c r="J30" s="15">
        <v>1000</v>
      </c>
      <c r="K30" s="26"/>
    </row>
    <row r="31" spans="1:11" ht="25.5" customHeight="1">
      <c r="A31" s="6">
        <v>2.8</v>
      </c>
      <c r="B31" s="14" t="s">
        <v>150</v>
      </c>
      <c r="C31" s="15"/>
      <c r="D31" s="15">
        <f t="shared" si="3"/>
        <v>0.48</v>
      </c>
      <c r="E31" s="15"/>
      <c r="F31" s="15"/>
      <c r="G31" s="15">
        <f t="shared" si="2"/>
        <v>0.48</v>
      </c>
      <c r="H31" s="15" t="s">
        <v>147</v>
      </c>
      <c r="I31" s="15">
        <v>8</v>
      </c>
      <c r="J31" s="15">
        <v>600</v>
      </c>
      <c r="K31" s="26"/>
    </row>
    <row r="32" spans="1:11" ht="25.5" customHeight="1">
      <c r="A32" s="18">
        <v>2.9</v>
      </c>
      <c r="B32" s="14" t="s">
        <v>151</v>
      </c>
      <c r="C32" s="15"/>
      <c r="D32" s="15">
        <f t="shared" si="3"/>
        <v>1.2</v>
      </c>
      <c r="E32" s="15"/>
      <c r="F32" s="15"/>
      <c r="G32" s="15">
        <f t="shared" si="2"/>
        <v>1.2</v>
      </c>
      <c r="H32" s="15" t="s">
        <v>94</v>
      </c>
      <c r="I32" s="15">
        <v>4</v>
      </c>
      <c r="J32" s="15">
        <v>3000</v>
      </c>
      <c r="K32" s="26"/>
    </row>
    <row r="33" spans="1:11" ht="25.5" customHeight="1">
      <c r="A33" s="32">
        <v>2.1</v>
      </c>
      <c r="B33" s="14" t="s">
        <v>152</v>
      </c>
      <c r="C33" s="15"/>
      <c r="D33" s="15">
        <f t="shared" si="3"/>
        <v>8</v>
      </c>
      <c r="E33" s="15"/>
      <c r="F33" s="15"/>
      <c r="G33" s="15">
        <f t="shared" si="2"/>
        <v>8</v>
      </c>
      <c r="H33" s="15" t="s">
        <v>94</v>
      </c>
      <c r="I33" s="15">
        <v>8</v>
      </c>
      <c r="J33" s="15">
        <v>10000</v>
      </c>
      <c r="K33" s="26"/>
    </row>
    <row r="34" spans="1:11" ht="25.5" customHeight="1">
      <c r="A34" s="54">
        <v>3</v>
      </c>
      <c r="B34" s="33" t="s">
        <v>153</v>
      </c>
      <c r="C34" s="10">
        <f>C35+C36+C37+C38+C39</f>
        <v>33.8</v>
      </c>
      <c r="D34" s="10"/>
      <c r="E34" s="10"/>
      <c r="F34" s="10"/>
      <c r="G34" s="10">
        <f aca="true" t="shared" si="4" ref="G34:G54">SUM(C34:F34)</f>
        <v>33.8</v>
      </c>
      <c r="H34" s="10"/>
      <c r="I34" s="10"/>
      <c r="J34" s="15"/>
      <c r="K34" s="15"/>
    </row>
    <row r="35" spans="1:11" ht="25.5" customHeight="1">
      <c r="A35" s="17">
        <v>3.1</v>
      </c>
      <c r="B35" s="14" t="s">
        <v>154</v>
      </c>
      <c r="C35" s="15">
        <f>I35*J35/10000</f>
        <v>7.6</v>
      </c>
      <c r="D35" s="15"/>
      <c r="E35" s="15"/>
      <c r="F35" s="15"/>
      <c r="G35" s="15">
        <f t="shared" si="4"/>
        <v>7.6</v>
      </c>
      <c r="H35" s="15" t="s">
        <v>94</v>
      </c>
      <c r="I35" s="15">
        <v>38</v>
      </c>
      <c r="J35" s="15">
        <v>2000</v>
      </c>
      <c r="K35" s="15"/>
    </row>
    <row r="36" spans="1:11" ht="25.5" customHeight="1">
      <c r="A36" s="17">
        <v>3.2</v>
      </c>
      <c r="B36" s="14" t="s">
        <v>95</v>
      </c>
      <c r="C36" s="15">
        <f>I36*J36/10000</f>
        <v>7.6</v>
      </c>
      <c r="D36" s="15"/>
      <c r="E36" s="15"/>
      <c r="F36" s="15"/>
      <c r="G36" s="15">
        <f t="shared" si="4"/>
        <v>7.6</v>
      </c>
      <c r="H36" s="15" t="s">
        <v>94</v>
      </c>
      <c r="I36" s="15">
        <v>38</v>
      </c>
      <c r="J36" s="15">
        <v>2000</v>
      </c>
      <c r="K36" s="15"/>
    </row>
    <row r="37" spans="1:11" ht="25.5" customHeight="1">
      <c r="A37" s="17">
        <v>3.3</v>
      </c>
      <c r="B37" s="14" t="s">
        <v>96</v>
      </c>
      <c r="C37" s="15">
        <f>I37*J37/10000</f>
        <v>0.6</v>
      </c>
      <c r="D37" s="15"/>
      <c r="E37" s="15"/>
      <c r="F37" s="15"/>
      <c r="G37" s="15">
        <f t="shared" si="4"/>
        <v>0.6</v>
      </c>
      <c r="H37" s="15" t="s">
        <v>94</v>
      </c>
      <c r="I37" s="15">
        <v>3</v>
      </c>
      <c r="J37" s="15">
        <v>2000</v>
      </c>
      <c r="K37" s="15"/>
    </row>
    <row r="38" spans="1:11" ht="25.5" customHeight="1">
      <c r="A38" s="17">
        <v>3.4</v>
      </c>
      <c r="B38" s="14" t="s">
        <v>155</v>
      </c>
      <c r="C38" s="15">
        <f>I38*J38/10000</f>
        <v>10</v>
      </c>
      <c r="D38" s="15"/>
      <c r="E38" s="15"/>
      <c r="F38" s="15"/>
      <c r="G38" s="15">
        <f t="shared" si="4"/>
        <v>10</v>
      </c>
      <c r="H38" s="15" t="s">
        <v>52</v>
      </c>
      <c r="I38" s="15">
        <v>1</v>
      </c>
      <c r="J38" s="15">
        <v>100000</v>
      </c>
      <c r="K38" s="15"/>
    </row>
    <row r="39" spans="1:11" ht="25.5" customHeight="1">
      <c r="A39" s="17">
        <v>3.5</v>
      </c>
      <c r="B39" s="14" t="s">
        <v>156</v>
      </c>
      <c r="C39" s="15">
        <f>I39*J39/10000</f>
        <v>8</v>
      </c>
      <c r="D39" s="15"/>
      <c r="E39" s="15"/>
      <c r="F39" s="15"/>
      <c r="G39" s="15">
        <f t="shared" si="4"/>
        <v>8</v>
      </c>
      <c r="H39" s="15" t="s">
        <v>94</v>
      </c>
      <c r="I39" s="15">
        <v>1</v>
      </c>
      <c r="J39" s="15">
        <v>80000</v>
      </c>
      <c r="K39" s="15"/>
    </row>
    <row r="40" spans="1:11" ht="25.5" customHeight="1">
      <c r="A40" s="54">
        <v>4</v>
      </c>
      <c r="B40" s="33" t="s">
        <v>157</v>
      </c>
      <c r="C40" s="10">
        <f>C41</f>
        <v>532.832931</v>
      </c>
      <c r="D40" s="10"/>
      <c r="E40" s="10"/>
      <c r="F40" s="10"/>
      <c r="G40" s="10">
        <f t="shared" si="4"/>
        <v>532.832931</v>
      </c>
      <c r="H40" s="10"/>
      <c r="I40" s="10"/>
      <c r="J40" s="10"/>
      <c r="K40" s="15"/>
    </row>
    <row r="41" spans="1:11" ht="25.5" customHeight="1">
      <c r="A41" s="6">
        <v>4.1</v>
      </c>
      <c r="B41" s="14" t="s">
        <v>158</v>
      </c>
      <c r="C41" s="15">
        <f>SUM(C42:C47)</f>
        <v>532.832931</v>
      </c>
      <c r="D41" s="15"/>
      <c r="E41" s="15"/>
      <c r="F41" s="15"/>
      <c r="G41" s="15">
        <f t="shared" si="4"/>
        <v>532.832931</v>
      </c>
      <c r="H41" s="15" t="s">
        <v>36</v>
      </c>
      <c r="I41" s="15">
        <v>8000</v>
      </c>
      <c r="J41" s="15">
        <f>C41/I41*10000</f>
        <v>666.0411637500001</v>
      </c>
      <c r="K41" s="26"/>
    </row>
    <row r="42" spans="1:11" ht="25.5" customHeight="1">
      <c r="A42" s="6" t="s">
        <v>159</v>
      </c>
      <c r="B42" s="34" t="s">
        <v>160</v>
      </c>
      <c r="C42" s="15">
        <f aca="true" t="shared" si="5" ref="C42:C48">I42*J42/10000</f>
        <v>19.507899999999996</v>
      </c>
      <c r="D42" s="15"/>
      <c r="E42" s="15"/>
      <c r="F42" s="15"/>
      <c r="G42" s="15">
        <f t="shared" si="4"/>
        <v>19.507899999999996</v>
      </c>
      <c r="H42" s="15" t="s">
        <v>100</v>
      </c>
      <c r="I42" s="15">
        <v>5230</v>
      </c>
      <c r="J42" s="15">
        <v>37.3</v>
      </c>
      <c r="K42" s="26"/>
    </row>
    <row r="43" spans="1:11" ht="39" customHeight="1">
      <c r="A43" s="6" t="s">
        <v>161</v>
      </c>
      <c r="B43" s="35" t="s">
        <v>162</v>
      </c>
      <c r="C43" s="15">
        <f t="shared" si="5"/>
        <v>107.14998</v>
      </c>
      <c r="D43" s="15"/>
      <c r="E43" s="15"/>
      <c r="F43" s="15"/>
      <c r="G43" s="15">
        <f t="shared" si="4"/>
        <v>107.14998</v>
      </c>
      <c r="H43" s="15" t="s">
        <v>100</v>
      </c>
      <c r="I43" s="15">
        <v>1204</v>
      </c>
      <c r="J43" s="15">
        <v>889.95</v>
      </c>
      <c r="K43" s="26"/>
    </row>
    <row r="44" spans="1:11" ht="25.5" customHeight="1">
      <c r="A44" s="6" t="s">
        <v>163</v>
      </c>
      <c r="B44" s="35" t="s">
        <v>164</v>
      </c>
      <c r="C44" s="15">
        <f t="shared" si="5"/>
        <v>203.63978</v>
      </c>
      <c r="D44" s="15"/>
      <c r="E44" s="15"/>
      <c r="F44" s="15"/>
      <c r="G44" s="15">
        <f t="shared" si="4"/>
        <v>203.63978</v>
      </c>
      <c r="H44" s="15" t="s">
        <v>165</v>
      </c>
      <c r="I44" s="15">
        <v>265</v>
      </c>
      <c r="J44" s="15">
        <v>7684.52</v>
      </c>
      <c r="K44" s="26"/>
    </row>
    <row r="45" spans="1:11" ht="25.5" customHeight="1">
      <c r="A45" s="6" t="s">
        <v>166</v>
      </c>
      <c r="B45" s="34" t="s">
        <v>167</v>
      </c>
      <c r="C45" s="15">
        <f t="shared" si="5"/>
        <v>82.34737100000001</v>
      </c>
      <c r="D45" s="15"/>
      <c r="E45" s="15"/>
      <c r="F45" s="15"/>
      <c r="G45" s="15">
        <f t="shared" si="4"/>
        <v>82.34737100000001</v>
      </c>
      <c r="H45" s="15" t="s">
        <v>165</v>
      </c>
      <c r="I45" s="15">
        <v>83</v>
      </c>
      <c r="J45" s="15">
        <v>9921.37</v>
      </c>
      <c r="K45" s="26"/>
    </row>
    <row r="46" spans="1:11" ht="25.5" customHeight="1">
      <c r="A46" s="6" t="s">
        <v>168</v>
      </c>
      <c r="B46" s="34" t="s">
        <v>169</v>
      </c>
      <c r="C46" s="15">
        <f t="shared" si="5"/>
        <v>116.6629</v>
      </c>
      <c r="D46" s="15"/>
      <c r="E46" s="15"/>
      <c r="F46" s="15"/>
      <c r="G46" s="15">
        <f t="shared" si="4"/>
        <v>116.6629</v>
      </c>
      <c r="H46" s="15" t="s">
        <v>100</v>
      </c>
      <c r="I46" s="15">
        <v>2300</v>
      </c>
      <c r="J46" s="15">
        <v>507.23</v>
      </c>
      <c r="K46" s="26"/>
    </row>
    <row r="47" spans="1:11" ht="25.5" customHeight="1">
      <c r="A47" s="6" t="s">
        <v>170</v>
      </c>
      <c r="B47" s="35" t="s">
        <v>171</v>
      </c>
      <c r="C47" s="15">
        <f t="shared" si="5"/>
        <v>3.525</v>
      </c>
      <c r="D47" s="15"/>
      <c r="E47" s="15"/>
      <c r="F47" s="15"/>
      <c r="G47" s="15">
        <f t="shared" si="4"/>
        <v>3.525</v>
      </c>
      <c r="H47" s="15" t="s">
        <v>172</v>
      </c>
      <c r="I47" s="15">
        <v>235</v>
      </c>
      <c r="J47" s="15">
        <v>150</v>
      </c>
      <c r="K47" s="26"/>
    </row>
    <row r="48" spans="1:11" ht="25.5" customHeight="1">
      <c r="A48" s="8">
        <v>5</v>
      </c>
      <c r="B48" s="9" t="s">
        <v>173</v>
      </c>
      <c r="C48" s="10">
        <f t="shared" si="5"/>
        <v>2800</v>
      </c>
      <c r="D48" s="10"/>
      <c r="E48" s="10"/>
      <c r="F48" s="10"/>
      <c r="G48" s="10">
        <f t="shared" si="4"/>
        <v>2800</v>
      </c>
      <c r="H48" s="10" t="s">
        <v>23</v>
      </c>
      <c r="I48" s="10">
        <v>1000</v>
      </c>
      <c r="J48" s="10">
        <v>28000</v>
      </c>
      <c r="K48" s="26"/>
    </row>
    <row r="49" spans="1:11" ht="25.5" customHeight="1">
      <c r="A49" s="8">
        <v>6</v>
      </c>
      <c r="B49" s="9" t="s">
        <v>174</v>
      </c>
      <c r="C49" s="10">
        <f>C50+C51</f>
        <v>150.1215</v>
      </c>
      <c r="D49" s="10"/>
      <c r="E49" s="10"/>
      <c r="F49" s="10"/>
      <c r="G49" s="10">
        <f t="shared" si="4"/>
        <v>150.1215</v>
      </c>
      <c r="H49" s="10"/>
      <c r="I49" s="10"/>
      <c r="J49" s="10"/>
      <c r="K49" s="26"/>
    </row>
    <row r="50" spans="1:11" ht="25.5" customHeight="1">
      <c r="A50" s="6">
        <v>6.1</v>
      </c>
      <c r="B50" s="35" t="s">
        <v>118</v>
      </c>
      <c r="C50" s="15">
        <f>I50*J50/10000</f>
        <v>3.6615</v>
      </c>
      <c r="D50" s="15"/>
      <c r="E50" s="15"/>
      <c r="F50" s="15"/>
      <c r="G50" s="15">
        <f t="shared" si="4"/>
        <v>3.6615</v>
      </c>
      <c r="H50" s="15" t="s">
        <v>100</v>
      </c>
      <c r="I50" s="15">
        <v>4882</v>
      </c>
      <c r="J50" s="15">
        <v>7.5</v>
      </c>
      <c r="K50" s="26"/>
    </row>
    <row r="51" spans="1:11" ht="25.5" customHeight="1">
      <c r="A51" s="6">
        <v>6.2</v>
      </c>
      <c r="B51" s="35" t="s">
        <v>116</v>
      </c>
      <c r="C51" s="15">
        <f>I51*J51/10000</f>
        <v>146.46</v>
      </c>
      <c r="D51" s="15"/>
      <c r="E51" s="15"/>
      <c r="F51" s="15"/>
      <c r="G51" s="15">
        <f t="shared" si="4"/>
        <v>146.46</v>
      </c>
      <c r="H51" s="15" t="s">
        <v>100</v>
      </c>
      <c r="I51" s="15">
        <v>48820</v>
      </c>
      <c r="J51" s="15">
        <v>30</v>
      </c>
      <c r="K51" s="26"/>
    </row>
    <row r="52" spans="1:11" ht="25.5" customHeight="1">
      <c r="A52" s="8">
        <v>7</v>
      </c>
      <c r="B52" s="9" t="s">
        <v>175</v>
      </c>
      <c r="C52" s="10">
        <f>C53+C54</f>
        <v>40.983</v>
      </c>
      <c r="D52" s="10"/>
      <c r="E52" s="10"/>
      <c r="F52" s="10"/>
      <c r="G52" s="10">
        <f t="shared" si="4"/>
        <v>40.983</v>
      </c>
      <c r="H52" s="10"/>
      <c r="I52" s="10"/>
      <c r="J52" s="10"/>
      <c r="K52" s="46"/>
    </row>
    <row r="53" spans="1:11" ht="25.5" customHeight="1">
      <c r="A53" s="17">
        <v>7.1</v>
      </c>
      <c r="B53" s="34" t="s">
        <v>176</v>
      </c>
      <c r="C53" s="15">
        <f>I53*J53/10000</f>
        <v>7.833</v>
      </c>
      <c r="D53" s="15"/>
      <c r="E53" s="15"/>
      <c r="F53" s="15"/>
      <c r="G53" s="15">
        <f t="shared" si="4"/>
        <v>7.833</v>
      </c>
      <c r="H53" s="15" t="s">
        <v>36</v>
      </c>
      <c r="I53" s="15">
        <v>2238</v>
      </c>
      <c r="J53" s="15">
        <v>35</v>
      </c>
      <c r="K53" s="46"/>
    </row>
    <row r="54" spans="1:11" ht="25.5" customHeight="1">
      <c r="A54" s="17">
        <v>7.2</v>
      </c>
      <c r="B54" s="35" t="s">
        <v>177</v>
      </c>
      <c r="C54" s="15">
        <f>I54*J54/10000</f>
        <v>33.15</v>
      </c>
      <c r="D54" s="15"/>
      <c r="E54" s="15"/>
      <c r="F54" s="15"/>
      <c r="G54" s="15">
        <f t="shared" si="4"/>
        <v>33.15</v>
      </c>
      <c r="H54" s="15" t="s">
        <v>36</v>
      </c>
      <c r="I54" s="15">
        <v>3315</v>
      </c>
      <c r="J54" s="15">
        <v>100</v>
      </c>
      <c r="K54" s="46"/>
    </row>
    <row r="55" spans="1:11" ht="25.5" customHeight="1">
      <c r="A55" s="8" t="s">
        <v>178</v>
      </c>
      <c r="B55" s="9" t="s">
        <v>179</v>
      </c>
      <c r="C55" s="10">
        <f>C56+C79+C90+C96+C100+C101</f>
        <v>1171.1745</v>
      </c>
      <c r="D55" s="10">
        <f>D56+D79+D90+D96+D100+D101</f>
        <v>114.85</v>
      </c>
      <c r="E55" s="10">
        <f>E56+E79+E90+E96+E100+E101</f>
        <v>20</v>
      </c>
      <c r="F55" s="10">
        <f>F56+F79+F90+F96+F100+F101</f>
        <v>0</v>
      </c>
      <c r="G55" s="10">
        <f>G56+G79+G90+G96+G100+G101</f>
        <v>1306.0245</v>
      </c>
      <c r="H55" s="12"/>
      <c r="I55" s="21"/>
      <c r="J55" s="25"/>
      <c r="K55" s="26"/>
    </row>
    <row r="56" spans="1:24" ht="25.5" customHeight="1">
      <c r="A56" s="53">
        <v>1</v>
      </c>
      <c r="B56" s="14" t="s">
        <v>180</v>
      </c>
      <c r="C56" s="15">
        <f aca="true" t="shared" si="6" ref="C56:C71">I56*J56/10000</f>
        <v>100</v>
      </c>
      <c r="D56" s="15"/>
      <c r="E56" s="15"/>
      <c r="F56" s="15"/>
      <c r="G56" s="15">
        <f aca="true" t="shared" si="7" ref="G56:G71">SUM(C56:F56)</f>
        <v>100</v>
      </c>
      <c r="H56" s="15" t="s">
        <v>94</v>
      </c>
      <c r="I56" s="15">
        <v>1</v>
      </c>
      <c r="J56" s="15">
        <v>1000000</v>
      </c>
      <c r="K56" s="26"/>
      <c r="N56" s="59" t="s">
        <v>179</v>
      </c>
      <c r="O56" s="59"/>
      <c r="P56" s="59"/>
      <c r="Q56" s="59"/>
      <c r="R56" s="59"/>
      <c r="S56" s="59"/>
      <c r="T56" s="55"/>
      <c r="U56" s="57"/>
      <c r="V56" s="57"/>
      <c r="W56" s="58"/>
      <c r="X56" s="55"/>
    </row>
    <row r="57" spans="1:24" ht="25.5" customHeight="1">
      <c r="A57" s="16">
        <v>1.1</v>
      </c>
      <c r="B57" s="23" t="s">
        <v>181</v>
      </c>
      <c r="C57" s="15">
        <f t="shared" si="6"/>
        <v>187.1814</v>
      </c>
      <c r="D57" s="15"/>
      <c r="E57" s="15"/>
      <c r="F57" s="15"/>
      <c r="G57" s="15">
        <f t="shared" si="7"/>
        <v>187.1814</v>
      </c>
      <c r="H57" s="15" t="s">
        <v>36</v>
      </c>
      <c r="I57" s="15">
        <v>6522</v>
      </c>
      <c r="J57" s="15">
        <v>287</v>
      </c>
      <c r="K57" s="26"/>
      <c r="N57" s="28"/>
      <c r="O57" s="28" t="s">
        <v>114</v>
      </c>
      <c r="P57" s="28" t="s">
        <v>182</v>
      </c>
      <c r="Q57" s="28" t="s">
        <v>12</v>
      </c>
      <c r="R57" s="28" t="s">
        <v>13</v>
      </c>
      <c r="S57" s="28" t="s">
        <v>183</v>
      </c>
      <c r="T57" s="55"/>
      <c r="U57" s="28" t="s">
        <v>114</v>
      </c>
      <c r="V57" s="28" t="s">
        <v>12</v>
      </c>
      <c r="W57" s="56" t="s">
        <v>13</v>
      </c>
      <c r="X57" s="55"/>
    </row>
    <row r="58" spans="1:24" ht="25.5" customHeight="1">
      <c r="A58" s="16">
        <v>1.2</v>
      </c>
      <c r="B58" s="23" t="s">
        <v>184</v>
      </c>
      <c r="C58" s="15">
        <f>SUM(C59:C69)</f>
        <v>13119.219399999998</v>
      </c>
      <c r="D58" s="15"/>
      <c r="E58" s="15"/>
      <c r="F58" s="15"/>
      <c r="G58" s="15">
        <f t="shared" si="7"/>
        <v>13119.219399999998</v>
      </c>
      <c r="H58" s="15"/>
      <c r="I58" s="15"/>
      <c r="J58" s="15"/>
      <c r="K58" s="26"/>
      <c r="N58" s="28">
        <v>1</v>
      </c>
      <c r="O58" s="28" t="s">
        <v>185</v>
      </c>
      <c r="P58" s="28" t="s">
        <v>186</v>
      </c>
      <c r="Q58" s="28" t="s">
        <v>36</v>
      </c>
      <c r="R58" s="28">
        <v>6522</v>
      </c>
      <c r="S58" s="28"/>
      <c r="T58" s="55"/>
      <c r="U58" s="28" t="s">
        <v>116</v>
      </c>
      <c r="V58" s="28" t="s">
        <v>100</v>
      </c>
      <c r="W58" s="56">
        <v>102335</v>
      </c>
      <c r="X58" s="55"/>
    </row>
    <row r="59" spans="1:24" ht="25.5" customHeight="1">
      <c r="A59" s="17" t="s">
        <v>187</v>
      </c>
      <c r="B59" s="23" t="s">
        <v>77</v>
      </c>
      <c r="C59" s="15">
        <f t="shared" si="6"/>
        <v>418.64</v>
      </c>
      <c r="D59" s="15"/>
      <c r="E59" s="15"/>
      <c r="F59" s="15"/>
      <c r="G59" s="15">
        <f t="shared" si="7"/>
        <v>418.64</v>
      </c>
      <c r="H59" s="15" t="s">
        <v>36</v>
      </c>
      <c r="I59" s="15">
        <v>20932</v>
      </c>
      <c r="J59" s="15">
        <v>200</v>
      </c>
      <c r="K59" s="26"/>
      <c r="N59" s="28">
        <v>2</v>
      </c>
      <c r="O59" s="28"/>
      <c r="P59" s="28" t="s">
        <v>184</v>
      </c>
      <c r="Q59" s="28"/>
      <c r="R59" s="28"/>
      <c r="S59" s="28"/>
      <c r="T59" s="55"/>
      <c r="U59" s="28" t="s">
        <v>118</v>
      </c>
      <c r="V59" s="28" t="s">
        <v>100</v>
      </c>
      <c r="W59" s="56">
        <f>W58*0.1</f>
        <v>10233.5</v>
      </c>
      <c r="X59" s="55"/>
    </row>
    <row r="60" spans="1:24" ht="25.5" customHeight="1">
      <c r="A60" s="17" t="s">
        <v>188</v>
      </c>
      <c r="B60" s="23" t="s">
        <v>189</v>
      </c>
      <c r="C60" s="15">
        <f t="shared" si="6"/>
        <v>58.1854</v>
      </c>
      <c r="D60" s="15"/>
      <c r="E60" s="15"/>
      <c r="F60" s="15"/>
      <c r="G60" s="15">
        <f t="shared" si="7"/>
        <v>58.1854</v>
      </c>
      <c r="H60" s="15" t="s">
        <v>36</v>
      </c>
      <c r="I60" s="15">
        <v>1807</v>
      </c>
      <c r="J60" s="15">
        <v>322</v>
      </c>
      <c r="K60" s="26"/>
      <c r="N60" s="28">
        <v>3</v>
      </c>
      <c r="O60" s="28" t="s">
        <v>77</v>
      </c>
      <c r="P60" s="28" t="s">
        <v>190</v>
      </c>
      <c r="Q60" s="28" t="s">
        <v>36</v>
      </c>
      <c r="R60" s="28">
        <v>20932</v>
      </c>
      <c r="S60" s="28"/>
      <c r="T60" s="55"/>
      <c r="U60" s="28" t="s">
        <v>121</v>
      </c>
      <c r="V60" s="28" t="s">
        <v>36</v>
      </c>
      <c r="W60" s="56" t="e">
        <f>R60+R68+#REF!</f>
        <v>#REF!</v>
      </c>
      <c r="X60" s="55"/>
    </row>
    <row r="61" spans="1:24" ht="25.5" customHeight="1">
      <c r="A61" s="17">
        <v>1.3</v>
      </c>
      <c r="B61" s="23" t="s">
        <v>191</v>
      </c>
      <c r="C61" s="15">
        <f t="shared" si="6"/>
        <v>45</v>
      </c>
      <c r="D61" s="15"/>
      <c r="E61" s="15"/>
      <c r="F61" s="15"/>
      <c r="G61" s="15">
        <f t="shared" si="7"/>
        <v>45</v>
      </c>
      <c r="H61" s="15" t="s">
        <v>94</v>
      </c>
      <c r="I61" s="15">
        <v>3</v>
      </c>
      <c r="J61" s="15">
        <v>150000</v>
      </c>
      <c r="K61" s="26"/>
      <c r="N61" s="28"/>
      <c r="O61" s="28"/>
      <c r="P61" s="28"/>
      <c r="Q61" s="28"/>
      <c r="R61" s="28"/>
      <c r="S61" s="28"/>
      <c r="T61" s="55"/>
      <c r="U61" s="28"/>
      <c r="V61" s="28"/>
      <c r="W61" s="56"/>
      <c r="X61" s="55"/>
    </row>
    <row r="62" spans="1:24" ht="25.5" customHeight="1">
      <c r="A62" s="17">
        <v>1.4</v>
      </c>
      <c r="B62" s="23" t="s">
        <v>192</v>
      </c>
      <c r="C62" s="15">
        <f t="shared" si="6"/>
        <v>150</v>
      </c>
      <c r="D62" s="15"/>
      <c r="E62" s="15"/>
      <c r="F62" s="15"/>
      <c r="G62" s="15">
        <f t="shared" si="7"/>
        <v>150</v>
      </c>
      <c r="H62" s="15" t="s">
        <v>94</v>
      </c>
      <c r="I62" s="15">
        <v>5</v>
      </c>
      <c r="J62" s="15">
        <v>300000</v>
      </c>
      <c r="K62" s="26"/>
      <c r="N62" s="28"/>
      <c r="O62" s="28"/>
      <c r="P62" s="28"/>
      <c r="Q62" s="28"/>
      <c r="R62" s="28"/>
      <c r="S62" s="28"/>
      <c r="T62" s="55"/>
      <c r="U62" s="28"/>
      <c r="V62" s="28"/>
      <c r="W62" s="56"/>
      <c r="X62" s="55"/>
    </row>
    <row r="63" spans="1:24" ht="25.5" customHeight="1">
      <c r="A63" s="17">
        <v>1.5</v>
      </c>
      <c r="B63" s="23" t="s">
        <v>193</v>
      </c>
      <c r="C63" s="15">
        <f t="shared" si="6"/>
        <v>11820.6</v>
      </c>
      <c r="D63" s="15"/>
      <c r="E63" s="15"/>
      <c r="F63" s="15"/>
      <c r="G63" s="15">
        <f t="shared" si="7"/>
        <v>11820.6</v>
      </c>
      <c r="H63" s="15" t="s">
        <v>36</v>
      </c>
      <c r="I63" s="15">
        <v>597</v>
      </c>
      <c r="J63" s="15">
        <f>J24</f>
        <v>198000</v>
      </c>
      <c r="K63" s="26"/>
      <c r="N63" s="28">
        <v>4</v>
      </c>
      <c r="O63" s="28" t="s">
        <v>189</v>
      </c>
      <c r="P63" s="28"/>
      <c r="Q63" s="28" t="s">
        <v>36</v>
      </c>
      <c r="R63" s="28">
        <v>691</v>
      </c>
      <c r="S63" s="28"/>
      <c r="T63" s="55"/>
      <c r="U63" s="28" t="s">
        <v>194</v>
      </c>
      <c r="V63" s="28" t="s">
        <v>100</v>
      </c>
      <c r="W63" s="56" t="e">
        <f>W60*0.4</f>
        <v>#REF!</v>
      </c>
      <c r="X63" s="55"/>
    </row>
    <row r="64" spans="1:24" ht="25.5" customHeight="1">
      <c r="A64" s="16" t="s">
        <v>195</v>
      </c>
      <c r="B64" s="23" t="s">
        <v>77</v>
      </c>
      <c r="C64" s="15">
        <f t="shared" si="6"/>
        <v>4.9</v>
      </c>
      <c r="D64" s="15"/>
      <c r="E64" s="15"/>
      <c r="F64" s="15"/>
      <c r="G64" s="15">
        <f t="shared" si="7"/>
        <v>4.9</v>
      </c>
      <c r="H64" s="15" t="s">
        <v>36</v>
      </c>
      <c r="I64" s="15">
        <v>245</v>
      </c>
      <c r="J64" s="15">
        <v>200</v>
      </c>
      <c r="K64" s="26"/>
      <c r="N64" s="28"/>
      <c r="O64" s="28" t="s">
        <v>191</v>
      </c>
      <c r="P64" s="28" t="s">
        <v>196</v>
      </c>
      <c r="Q64" s="28" t="s">
        <v>94</v>
      </c>
      <c r="R64" s="28">
        <v>3</v>
      </c>
      <c r="S64" s="28"/>
      <c r="T64" s="55"/>
      <c r="U64" s="57"/>
      <c r="V64" s="57"/>
      <c r="W64" s="58"/>
      <c r="X64" s="55"/>
    </row>
    <row r="65" spans="1:24" ht="25.5" customHeight="1">
      <c r="A65" s="16" t="s">
        <v>197</v>
      </c>
      <c r="B65" s="23" t="s">
        <v>198</v>
      </c>
      <c r="C65" s="15">
        <f t="shared" si="6"/>
        <v>6.094</v>
      </c>
      <c r="D65" s="15"/>
      <c r="E65" s="15"/>
      <c r="F65" s="15"/>
      <c r="G65" s="15">
        <f t="shared" si="7"/>
        <v>6.094</v>
      </c>
      <c r="H65" s="15" t="s">
        <v>36</v>
      </c>
      <c r="I65" s="15">
        <v>277</v>
      </c>
      <c r="J65" s="15">
        <v>220</v>
      </c>
      <c r="K65" s="26"/>
      <c r="N65" s="28"/>
      <c r="O65" s="28"/>
      <c r="P65" s="28"/>
      <c r="Q65" s="28"/>
      <c r="R65" s="28"/>
      <c r="S65" s="28"/>
      <c r="T65" s="55"/>
      <c r="U65" s="57"/>
      <c r="V65" s="57"/>
      <c r="W65" s="58"/>
      <c r="X65" s="55"/>
    </row>
    <row r="66" spans="1:24" ht="25.5" customHeight="1">
      <c r="A66" s="16"/>
      <c r="B66" s="23" t="s">
        <v>199</v>
      </c>
      <c r="C66" s="15">
        <f t="shared" si="6"/>
        <v>90.32</v>
      </c>
      <c r="D66" s="15"/>
      <c r="E66" s="15"/>
      <c r="F66" s="15"/>
      <c r="G66" s="15">
        <f t="shared" si="7"/>
        <v>90.32</v>
      </c>
      <c r="H66" s="15" t="s">
        <v>36</v>
      </c>
      <c r="I66" s="15">
        <v>2258</v>
      </c>
      <c r="J66" s="15">
        <f>J10</f>
        <v>400</v>
      </c>
      <c r="K66" s="26"/>
      <c r="N66" s="28"/>
      <c r="O66" s="28"/>
      <c r="P66" s="28"/>
      <c r="Q66" s="28"/>
      <c r="R66" s="28"/>
      <c r="S66" s="28"/>
      <c r="T66" s="55"/>
      <c r="U66" s="57"/>
      <c r="V66" s="57"/>
      <c r="W66" s="58"/>
      <c r="X66" s="55"/>
    </row>
    <row r="67" spans="1:24" ht="25.5" customHeight="1">
      <c r="A67" s="16"/>
      <c r="B67" s="23" t="s">
        <v>200</v>
      </c>
      <c r="C67" s="15">
        <f t="shared" si="6"/>
        <v>1.88</v>
      </c>
      <c r="D67" s="15"/>
      <c r="E67" s="15"/>
      <c r="F67" s="15"/>
      <c r="G67" s="15">
        <f t="shared" si="7"/>
        <v>1.88</v>
      </c>
      <c r="H67" s="15" t="s">
        <v>23</v>
      </c>
      <c r="I67" s="15">
        <v>94</v>
      </c>
      <c r="J67" s="15">
        <v>200</v>
      </c>
      <c r="K67" s="26"/>
      <c r="N67" s="28"/>
      <c r="O67" s="28"/>
      <c r="P67" s="28"/>
      <c r="Q67" s="28"/>
      <c r="R67" s="28"/>
      <c r="S67" s="28"/>
      <c r="T67" s="55"/>
      <c r="U67" s="57"/>
      <c r="V67" s="57"/>
      <c r="W67" s="58"/>
      <c r="X67" s="55"/>
    </row>
    <row r="68" spans="1:24" ht="25.5" customHeight="1">
      <c r="A68" s="16">
        <v>1.7</v>
      </c>
      <c r="B68" s="23" t="s">
        <v>201</v>
      </c>
      <c r="C68" s="15">
        <f t="shared" si="6"/>
        <v>23.6</v>
      </c>
      <c r="D68" s="15"/>
      <c r="E68" s="15"/>
      <c r="F68" s="15"/>
      <c r="G68" s="15">
        <f t="shared" si="7"/>
        <v>23.6</v>
      </c>
      <c r="H68" s="15" t="s">
        <v>23</v>
      </c>
      <c r="I68" s="15">
        <v>59</v>
      </c>
      <c r="J68" s="15">
        <v>4000</v>
      </c>
      <c r="K68" s="29"/>
      <c r="N68" s="28">
        <v>5</v>
      </c>
      <c r="O68" s="28" t="s">
        <v>192</v>
      </c>
      <c r="P68" s="28" t="s">
        <v>196</v>
      </c>
      <c r="Q68" s="28" t="s">
        <v>94</v>
      </c>
      <c r="R68" s="28">
        <v>5</v>
      </c>
      <c r="S68" s="28"/>
      <c r="T68" s="55"/>
      <c r="U68" s="57"/>
      <c r="V68" s="57"/>
      <c r="W68" s="58"/>
      <c r="X68" s="55"/>
    </row>
    <row r="69" spans="1:24" ht="25.5" customHeight="1">
      <c r="A69" s="16">
        <v>1.8</v>
      </c>
      <c r="B69" s="23" t="s">
        <v>202</v>
      </c>
      <c r="C69" s="15">
        <f t="shared" si="6"/>
        <v>500</v>
      </c>
      <c r="D69" s="15"/>
      <c r="E69" s="15"/>
      <c r="F69" s="15"/>
      <c r="G69" s="15">
        <f t="shared" si="7"/>
        <v>500</v>
      </c>
      <c r="H69" s="15" t="s">
        <v>94</v>
      </c>
      <c r="I69" s="15">
        <v>1</v>
      </c>
      <c r="J69" s="15">
        <v>5000000</v>
      </c>
      <c r="K69" s="29"/>
      <c r="N69" s="28">
        <v>5</v>
      </c>
      <c r="O69" s="28"/>
      <c r="P69" s="28" t="s">
        <v>193</v>
      </c>
      <c r="Q69" s="28"/>
      <c r="R69" s="28"/>
      <c r="S69" s="28"/>
      <c r="T69" s="55"/>
      <c r="U69" s="57"/>
      <c r="V69" s="57"/>
      <c r="W69" s="58"/>
      <c r="X69" s="55"/>
    </row>
    <row r="70" spans="1:24" ht="25.5" customHeight="1">
      <c r="A70" s="16"/>
      <c r="B70" s="23" t="s">
        <v>203</v>
      </c>
      <c r="C70" s="15">
        <f t="shared" si="6"/>
        <v>300</v>
      </c>
      <c r="D70" s="15"/>
      <c r="E70" s="15"/>
      <c r="F70" s="15"/>
      <c r="G70" s="15">
        <f t="shared" si="7"/>
        <v>300</v>
      </c>
      <c r="H70" s="15" t="s">
        <v>94</v>
      </c>
      <c r="I70" s="15">
        <v>1</v>
      </c>
      <c r="J70" s="15">
        <v>3000000</v>
      </c>
      <c r="K70" s="29"/>
      <c r="N70" s="28"/>
      <c r="O70" s="28"/>
      <c r="P70" s="28"/>
      <c r="Q70" s="28"/>
      <c r="R70" s="28"/>
      <c r="S70" s="28"/>
      <c r="T70" s="55"/>
      <c r="U70" s="57"/>
      <c r="V70" s="57"/>
      <c r="W70" s="58"/>
      <c r="X70" s="55"/>
    </row>
    <row r="71" spans="1:24" ht="25.5" customHeight="1">
      <c r="A71" s="16">
        <v>1.9</v>
      </c>
      <c r="B71" s="23" t="s">
        <v>204</v>
      </c>
      <c r="C71" s="15">
        <f t="shared" si="6"/>
        <v>15</v>
      </c>
      <c r="D71" s="15"/>
      <c r="E71" s="15"/>
      <c r="F71" s="15"/>
      <c r="G71" s="15">
        <f t="shared" si="7"/>
        <v>15</v>
      </c>
      <c r="H71" s="15" t="s">
        <v>23</v>
      </c>
      <c r="I71" s="15">
        <v>60</v>
      </c>
      <c r="J71" s="15">
        <v>2500</v>
      </c>
      <c r="K71" s="29"/>
      <c r="N71" s="28">
        <v>6</v>
      </c>
      <c r="O71" s="28" t="s">
        <v>77</v>
      </c>
      <c r="P71" s="28" t="s">
        <v>190</v>
      </c>
      <c r="Q71" s="28" t="s">
        <v>36</v>
      </c>
      <c r="R71" s="28">
        <v>245</v>
      </c>
      <c r="S71" s="28"/>
      <c r="T71" s="55"/>
      <c r="U71" s="57"/>
      <c r="V71" s="57"/>
      <c r="W71" s="58"/>
      <c r="X71" s="55"/>
    </row>
    <row r="72" spans="1:24" ht="25.5" customHeight="1">
      <c r="A72" s="19">
        <v>1.1</v>
      </c>
      <c r="B72" s="23" t="s">
        <v>205</v>
      </c>
      <c r="C72" s="15"/>
      <c r="D72" s="15"/>
      <c r="E72" s="15"/>
      <c r="F72" s="15"/>
      <c r="G72" s="15"/>
      <c r="H72" s="15"/>
      <c r="I72" s="15"/>
      <c r="J72" s="15"/>
      <c r="K72" s="29"/>
      <c r="N72" s="28">
        <v>7</v>
      </c>
      <c r="O72" s="28" t="s">
        <v>185</v>
      </c>
      <c r="P72" s="28" t="s">
        <v>206</v>
      </c>
      <c r="Q72" s="28" t="s">
        <v>36</v>
      </c>
      <c r="R72" s="28">
        <v>277</v>
      </c>
      <c r="S72" s="28"/>
      <c r="T72" s="55"/>
      <c r="U72" s="57"/>
      <c r="V72" s="57"/>
      <c r="W72" s="58"/>
      <c r="X72" s="55"/>
    </row>
    <row r="73" spans="1:24" ht="25.5" customHeight="1">
      <c r="A73" s="19">
        <v>1.11</v>
      </c>
      <c r="B73" s="23" t="s">
        <v>207</v>
      </c>
      <c r="C73" s="15">
        <f aca="true" t="shared" si="8" ref="C73:C78">I73*J73/10000</f>
        <v>91.36</v>
      </c>
      <c r="D73" s="15"/>
      <c r="E73" s="15"/>
      <c r="F73" s="15"/>
      <c r="G73" s="15">
        <f aca="true" t="shared" si="9" ref="G73:G79">SUM(C73:F73)</f>
        <v>91.36</v>
      </c>
      <c r="H73" s="15" t="s">
        <v>36</v>
      </c>
      <c r="I73" s="15">
        <v>571</v>
      </c>
      <c r="J73" s="15">
        <v>1600</v>
      </c>
      <c r="K73" s="29"/>
      <c r="N73" s="28">
        <v>8</v>
      </c>
      <c r="O73" s="28" t="s">
        <v>177</v>
      </c>
      <c r="P73" s="28" t="s">
        <v>85</v>
      </c>
      <c r="Q73" s="28" t="s">
        <v>36</v>
      </c>
      <c r="R73" s="28">
        <v>2258</v>
      </c>
      <c r="S73" s="28"/>
      <c r="T73" s="55"/>
      <c r="U73" s="57"/>
      <c r="V73" s="57"/>
      <c r="W73" s="58"/>
      <c r="X73" s="55"/>
    </row>
    <row r="74" spans="1:24" ht="25.5" customHeight="1">
      <c r="A74" s="19">
        <v>1.12</v>
      </c>
      <c r="B74" s="23" t="s">
        <v>208</v>
      </c>
      <c r="C74" s="15">
        <f t="shared" si="8"/>
        <v>4.76</v>
      </c>
      <c r="D74" s="15"/>
      <c r="E74" s="15"/>
      <c r="F74" s="15"/>
      <c r="G74" s="15">
        <f t="shared" si="9"/>
        <v>4.76</v>
      </c>
      <c r="H74" s="15" t="s">
        <v>23</v>
      </c>
      <c r="I74" s="15">
        <v>119</v>
      </c>
      <c r="J74" s="15">
        <v>400</v>
      </c>
      <c r="K74" s="29"/>
      <c r="N74" s="28">
        <v>9</v>
      </c>
      <c r="O74" s="28" t="s">
        <v>209</v>
      </c>
      <c r="P74" s="28" t="s">
        <v>85</v>
      </c>
      <c r="Q74" s="28" t="s">
        <v>23</v>
      </c>
      <c r="R74" s="28">
        <v>94</v>
      </c>
      <c r="S74" s="28"/>
      <c r="T74" s="55"/>
      <c r="U74" s="57"/>
      <c r="V74" s="57"/>
      <c r="W74" s="58"/>
      <c r="X74" s="55"/>
    </row>
    <row r="75" spans="1:24" ht="25.5" customHeight="1">
      <c r="A75" s="17">
        <v>3.4</v>
      </c>
      <c r="B75" s="23" t="s">
        <v>210</v>
      </c>
      <c r="C75" s="15">
        <f>C76+C77+C78</f>
        <v>96.62</v>
      </c>
      <c r="D75" s="15"/>
      <c r="E75" s="15"/>
      <c r="F75" s="15"/>
      <c r="G75" s="15">
        <f t="shared" si="9"/>
        <v>96.62</v>
      </c>
      <c r="H75" s="15"/>
      <c r="I75" s="15"/>
      <c r="J75" s="15"/>
      <c r="K75" s="29"/>
      <c r="N75" s="28">
        <v>10</v>
      </c>
      <c r="O75" s="28" t="s">
        <v>201</v>
      </c>
      <c r="P75" s="28"/>
      <c r="Q75" s="28" t="s">
        <v>23</v>
      </c>
      <c r="R75" s="28">
        <v>59</v>
      </c>
      <c r="S75" s="28"/>
      <c r="T75" s="55"/>
      <c r="U75" s="57"/>
      <c r="V75" s="57"/>
      <c r="W75" s="58"/>
      <c r="X75" s="55"/>
    </row>
    <row r="76" spans="1:24" ht="25.5" customHeight="1">
      <c r="A76" s="17" t="s">
        <v>211</v>
      </c>
      <c r="B76" s="23" t="s">
        <v>77</v>
      </c>
      <c r="C76" s="15">
        <f t="shared" si="8"/>
        <v>23.62</v>
      </c>
      <c r="D76" s="15"/>
      <c r="E76" s="15"/>
      <c r="F76" s="15"/>
      <c r="G76" s="15">
        <f t="shared" si="9"/>
        <v>23.62</v>
      </c>
      <c r="H76" s="15" t="s">
        <v>36</v>
      </c>
      <c r="I76" s="15">
        <v>1181</v>
      </c>
      <c r="J76" s="15">
        <v>200</v>
      </c>
      <c r="K76" s="29"/>
      <c r="N76" s="28">
        <v>11</v>
      </c>
      <c r="O76" s="28" t="s">
        <v>212</v>
      </c>
      <c r="P76" s="28" t="s">
        <v>213</v>
      </c>
      <c r="Q76" s="28" t="s">
        <v>94</v>
      </c>
      <c r="R76" s="28">
        <v>1</v>
      </c>
      <c r="S76" s="28"/>
      <c r="T76" s="55"/>
      <c r="U76" s="57"/>
      <c r="V76" s="57"/>
      <c r="W76" s="58"/>
      <c r="X76" s="55"/>
    </row>
    <row r="77" spans="1:24" ht="25.5" customHeight="1">
      <c r="A77" s="17" t="s">
        <v>214</v>
      </c>
      <c r="B77" s="23" t="s">
        <v>199</v>
      </c>
      <c r="C77" s="15">
        <f t="shared" si="8"/>
        <v>69.8</v>
      </c>
      <c r="D77" s="15"/>
      <c r="E77" s="15"/>
      <c r="F77" s="15"/>
      <c r="G77" s="15">
        <f t="shared" si="9"/>
        <v>69.8</v>
      </c>
      <c r="H77" s="15" t="s">
        <v>36</v>
      </c>
      <c r="I77" s="15">
        <v>1745</v>
      </c>
      <c r="J77" s="15">
        <f>J10</f>
        <v>400</v>
      </c>
      <c r="K77" s="29"/>
      <c r="N77" s="28">
        <v>12</v>
      </c>
      <c r="O77" s="28" t="s">
        <v>215</v>
      </c>
      <c r="P77" s="28" t="s">
        <v>216</v>
      </c>
      <c r="Q77" s="28" t="s">
        <v>94</v>
      </c>
      <c r="R77" s="28">
        <v>1</v>
      </c>
      <c r="S77" s="28"/>
      <c r="T77" s="55"/>
      <c r="U77" s="57"/>
      <c r="V77" s="57"/>
      <c r="W77" s="58"/>
      <c r="X77" s="55"/>
    </row>
    <row r="78" spans="1:24" ht="25.5" customHeight="1">
      <c r="A78" s="17" t="s">
        <v>217</v>
      </c>
      <c r="B78" s="14" t="s">
        <v>218</v>
      </c>
      <c r="C78" s="15">
        <f t="shared" si="8"/>
        <v>3.2</v>
      </c>
      <c r="D78" s="15"/>
      <c r="E78" s="15"/>
      <c r="F78" s="15"/>
      <c r="G78" s="15">
        <f t="shared" si="9"/>
        <v>3.2</v>
      </c>
      <c r="H78" s="15" t="s">
        <v>23</v>
      </c>
      <c r="I78" s="15">
        <v>32</v>
      </c>
      <c r="J78" s="15">
        <v>1000</v>
      </c>
      <c r="K78" s="29"/>
      <c r="N78" s="28">
        <v>12</v>
      </c>
      <c r="O78" s="28" t="s">
        <v>219</v>
      </c>
      <c r="P78" s="28" t="s">
        <v>220</v>
      </c>
      <c r="Q78" s="28" t="s">
        <v>36</v>
      </c>
      <c r="R78" s="28">
        <v>571</v>
      </c>
      <c r="S78" s="28"/>
      <c r="T78" s="55"/>
      <c r="U78" s="57"/>
      <c r="V78" s="57"/>
      <c r="W78" s="58"/>
      <c r="X78" s="55"/>
    </row>
    <row r="79" spans="1:24" ht="25.5" customHeight="1">
      <c r="A79" s="8">
        <v>2</v>
      </c>
      <c r="B79" s="33" t="s">
        <v>139</v>
      </c>
      <c r="C79" s="10">
        <f>SUM(C80:C89)</f>
        <v>0</v>
      </c>
      <c r="D79" s="10">
        <f>SUM(D80:D89)</f>
        <v>114.85</v>
      </c>
      <c r="E79" s="10">
        <f>SUM(E80:E89)</f>
        <v>20</v>
      </c>
      <c r="F79" s="10">
        <f>SUM(F80:F87)</f>
        <v>0</v>
      </c>
      <c r="G79" s="10">
        <f t="shared" si="9"/>
        <v>134.85</v>
      </c>
      <c r="H79" s="10"/>
      <c r="I79" s="10"/>
      <c r="J79" s="15"/>
      <c r="K79" s="26"/>
      <c r="N79" s="28">
        <v>13</v>
      </c>
      <c r="O79" s="28" t="s">
        <v>208</v>
      </c>
      <c r="P79" s="28"/>
      <c r="Q79" s="28" t="s">
        <v>221</v>
      </c>
      <c r="R79" s="28">
        <v>119</v>
      </c>
      <c r="S79" s="28"/>
      <c r="T79" s="55"/>
      <c r="U79" s="57"/>
      <c r="V79" s="57"/>
      <c r="W79" s="58"/>
      <c r="X79" s="55"/>
    </row>
    <row r="80" spans="1:24" ht="25.5" customHeight="1">
      <c r="A80" s="6">
        <v>2.1</v>
      </c>
      <c r="B80" s="14" t="s">
        <v>222</v>
      </c>
      <c r="C80" s="15"/>
      <c r="D80" s="15">
        <f>E80*0.1</f>
        <v>2</v>
      </c>
      <c r="E80" s="15">
        <v>20</v>
      </c>
      <c r="F80" s="15"/>
      <c r="G80" s="15">
        <f aca="true" t="shared" si="10" ref="G80:G89">SUM(D80:F80)</f>
        <v>22</v>
      </c>
      <c r="H80" s="15" t="s">
        <v>141</v>
      </c>
      <c r="I80" s="15">
        <v>1</v>
      </c>
      <c r="J80" s="15">
        <f>G80*10000</f>
        <v>220000</v>
      </c>
      <c r="K80" s="26"/>
      <c r="M80" s="60" t="s">
        <v>223</v>
      </c>
      <c r="N80" s="61"/>
      <c r="O80" s="61"/>
      <c r="P80" s="61"/>
      <c r="Q80" s="28"/>
      <c r="R80" s="28"/>
      <c r="S80" s="28"/>
      <c r="T80" s="55"/>
      <c r="U80" s="57"/>
      <c r="V80" s="57"/>
      <c r="W80" s="58"/>
      <c r="X80" s="55"/>
    </row>
    <row r="81" spans="1:24" ht="25.5" customHeight="1">
      <c r="A81" s="6">
        <v>2.2</v>
      </c>
      <c r="B81" s="14" t="s">
        <v>142</v>
      </c>
      <c r="C81" s="15"/>
      <c r="D81" s="15">
        <f aca="true" t="shared" si="11" ref="D81:D89">I81*J81/10000</f>
        <v>20</v>
      </c>
      <c r="E81" s="15"/>
      <c r="F81" s="15"/>
      <c r="G81" s="15">
        <f t="shared" si="10"/>
        <v>20</v>
      </c>
      <c r="H81" s="15" t="s">
        <v>143</v>
      </c>
      <c r="I81" s="15">
        <v>1</v>
      </c>
      <c r="J81" s="15">
        <v>200000</v>
      </c>
      <c r="K81" s="26"/>
      <c r="M81" s="61"/>
      <c r="N81" s="28" t="s">
        <v>224</v>
      </c>
      <c r="O81" s="61" t="s">
        <v>225</v>
      </c>
      <c r="P81" s="61" t="s">
        <v>226</v>
      </c>
      <c r="Q81" s="28" t="s">
        <v>36</v>
      </c>
      <c r="R81" s="28">
        <v>1181</v>
      </c>
      <c r="S81" s="28"/>
      <c r="T81" s="55"/>
      <c r="U81" s="57"/>
      <c r="V81" s="57"/>
      <c r="W81" s="58"/>
      <c r="X81" s="55"/>
    </row>
    <row r="82" spans="1:24" ht="25.5" customHeight="1">
      <c r="A82" s="6">
        <v>2.3</v>
      </c>
      <c r="B82" s="14" t="s">
        <v>144</v>
      </c>
      <c r="C82" s="15"/>
      <c r="D82" s="15">
        <f t="shared" si="11"/>
        <v>16.8</v>
      </c>
      <c r="E82" s="15"/>
      <c r="F82" s="15"/>
      <c r="G82" s="15">
        <f t="shared" si="10"/>
        <v>16.8</v>
      </c>
      <c r="H82" s="15" t="s">
        <v>143</v>
      </c>
      <c r="I82" s="15">
        <v>2</v>
      </c>
      <c r="J82" s="15">
        <v>84000</v>
      </c>
      <c r="K82" s="26"/>
      <c r="M82" s="62" t="s">
        <v>179</v>
      </c>
      <c r="N82" s="59"/>
      <c r="O82" s="59"/>
      <c r="P82" s="59"/>
      <c r="Q82" s="59"/>
      <c r="R82" s="63"/>
      <c r="S82" s="28"/>
      <c r="T82" s="55"/>
      <c r="U82" s="57"/>
      <c r="V82" s="57"/>
      <c r="W82" s="58"/>
      <c r="X82" s="55"/>
    </row>
    <row r="83" spans="1:19" ht="25.5" customHeight="1">
      <c r="A83" s="6">
        <v>2.4</v>
      </c>
      <c r="B83" s="14" t="s">
        <v>145</v>
      </c>
      <c r="C83" s="15"/>
      <c r="D83" s="15">
        <f t="shared" si="11"/>
        <v>20</v>
      </c>
      <c r="E83" s="15"/>
      <c r="F83" s="15"/>
      <c r="G83" s="15">
        <f t="shared" si="10"/>
        <v>20</v>
      </c>
      <c r="H83" s="15" t="s">
        <v>143</v>
      </c>
      <c r="I83" s="15">
        <v>1</v>
      </c>
      <c r="J83" s="15">
        <v>200000</v>
      </c>
      <c r="K83" s="26"/>
      <c r="M83" s="28"/>
      <c r="N83" s="28" t="s">
        <v>114</v>
      </c>
      <c r="O83" s="28" t="s">
        <v>182</v>
      </c>
      <c r="P83" s="28" t="s">
        <v>12</v>
      </c>
      <c r="Q83" s="28" t="s">
        <v>13</v>
      </c>
      <c r="R83" s="28" t="s">
        <v>183</v>
      </c>
      <c r="S83" s="28"/>
    </row>
    <row r="84" spans="1:19" ht="25.5" customHeight="1">
      <c r="A84" s="6">
        <v>2.5</v>
      </c>
      <c r="B84" s="14" t="s">
        <v>146</v>
      </c>
      <c r="C84" s="15"/>
      <c r="D84" s="15">
        <f t="shared" si="11"/>
        <v>47.25</v>
      </c>
      <c r="E84" s="15"/>
      <c r="F84" s="15"/>
      <c r="G84" s="15">
        <f t="shared" si="10"/>
        <v>47.25</v>
      </c>
      <c r="H84" s="15" t="s">
        <v>147</v>
      </c>
      <c r="I84" s="15">
        <v>189</v>
      </c>
      <c r="J84" s="15">
        <v>2500</v>
      </c>
      <c r="K84" s="26"/>
      <c r="M84" s="28">
        <v>1</v>
      </c>
      <c r="N84" s="28" t="s">
        <v>146</v>
      </c>
      <c r="O84" s="28" t="s">
        <v>227</v>
      </c>
      <c r="P84" s="28" t="s">
        <v>147</v>
      </c>
      <c r="Q84" s="28">
        <v>189</v>
      </c>
      <c r="R84" s="28"/>
      <c r="S84" s="28"/>
    </row>
    <row r="85" spans="1:18" ht="25.5" customHeight="1">
      <c r="A85" s="6">
        <v>2.6</v>
      </c>
      <c r="B85" s="14" t="s">
        <v>148</v>
      </c>
      <c r="C85" s="15"/>
      <c r="D85" s="15">
        <f t="shared" si="11"/>
        <v>2.8</v>
      </c>
      <c r="E85" s="15"/>
      <c r="F85" s="15"/>
      <c r="G85" s="15">
        <f t="shared" si="10"/>
        <v>2.8</v>
      </c>
      <c r="H85" s="15" t="s">
        <v>147</v>
      </c>
      <c r="I85" s="15">
        <v>14</v>
      </c>
      <c r="J85" s="15">
        <v>2000</v>
      </c>
      <c r="K85" s="26"/>
      <c r="M85" s="28">
        <v>2</v>
      </c>
      <c r="N85" s="28" t="s">
        <v>148</v>
      </c>
      <c r="O85" s="28" t="s">
        <v>228</v>
      </c>
      <c r="P85" s="28" t="s">
        <v>147</v>
      </c>
      <c r="Q85" s="28">
        <v>14</v>
      </c>
      <c r="R85" s="28"/>
    </row>
    <row r="86" spans="1:18" ht="25.5" customHeight="1">
      <c r="A86" s="6">
        <v>2.7</v>
      </c>
      <c r="B86" s="14" t="s">
        <v>149</v>
      </c>
      <c r="C86" s="15"/>
      <c r="D86" s="15">
        <f t="shared" si="11"/>
        <v>0.8</v>
      </c>
      <c r="E86" s="15"/>
      <c r="F86" s="15"/>
      <c r="G86" s="15">
        <f t="shared" si="10"/>
        <v>0.8</v>
      </c>
      <c r="H86" s="15" t="s">
        <v>147</v>
      </c>
      <c r="I86" s="15">
        <v>8</v>
      </c>
      <c r="J86" s="15">
        <v>1000</v>
      </c>
      <c r="K86" s="26"/>
      <c r="M86" s="28">
        <v>3</v>
      </c>
      <c r="N86" s="28" t="s">
        <v>149</v>
      </c>
      <c r="O86" s="28"/>
      <c r="P86" s="28" t="s">
        <v>147</v>
      </c>
      <c r="Q86" s="28">
        <v>8</v>
      </c>
      <c r="R86" s="28"/>
    </row>
    <row r="87" spans="1:18" ht="25.5" customHeight="1">
      <c r="A87" s="6">
        <v>2.9</v>
      </c>
      <c r="B87" s="14" t="s">
        <v>150</v>
      </c>
      <c r="C87" s="15"/>
      <c r="D87" s="15">
        <f t="shared" si="11"/>
        <v>0.3</v>
      </c>
      <c r="E87" s="15"/>
      <c r="F87" s="15"/>
      <c r="G87" s="15">
        <f t="shared" si="10"/>
        <v>0.3</v>
      </c>
      <c r="H87" s="15" t="s">
        <v>147</v>
      </c>
      <c r="I87" s="15">
        <v>5</v>
      </c>
      <c r="J87" s="15">
        <v>600</v>
      </c>
      <c r="K87" s="26"/>
      <c r="M87" s="28">
        <v>5</v>
      </c>
      <c r="N87" s="28" t="s">
        <v>150</v>
      </c>
      <c r="O87" s="28"/>
      <c r="P87" s="28" t="s">
        <v>147</v>
      </c>
      <c r="Q87" s="28">
        <v>5</v>
      </c>
      <c r="R87" s="28"/>
    </row>
    <row r="88" spans="1:18" ht="25.5" customHeight="1">
      <c r="A88" s="32">
        <v>2.1</v>
      </c>
      <c r="B88" s="14" t="s">
        <v>151</v>
      </c>
      <c r="C88" s="15"/>
      <c r="D88" s="15">
        <f t="shared" si="11"/>
        <v>0.9</v>
      </c>
      <c r="E88" s="15"/>
      <c r="F88" s="15"/>
      <c r="G88" s="15">
        <f t="shared" si="10"/>
        <v>0.9</v>
      </c>
      <c r="H88" s="15" t="s">
        <v>94</v>
      </c>
      <c r="I88" s="15">
        <v>3</v>
      </c>
      <c r="J88" s="15">
        <v>3000</v>
      </c>
      <c r="K88" s="26"/>
      <c r="M88" s="28">
        <v>6</v>
      </c>
      <c r="N88" s="28" t="s">
        <v>154</v>
      </c>
      <c r="O88" s="28"/>
      <c r="P88" s="28" t="s">
        <v>94</v>
      </c>
      <c r="Q88" s="28">
        <v>30</v>
      </c>
      <c r="R88" s="28"/>
    </row>
    <row r="89" spans="1:18" ht="25.5" customHeight="1">
      <c r="A89" s="32">
        <v>2.11</v>
      </c>
      <c r="B89" s="14" t="s">
        <v>152</v>
      </c>
      <c r="C89" s="15"/>
      <c r="D89" s="15">
        <f t="shared" si="11"/>
        <v>4</v>
      </c>
      <c r="E89" s="15"/>
      <c r="F89" s="15"/>
      <c r="G89" s="15">
        <f t="shared" si="10"/>
        <v>4</v>
      </c>
      <c r="H89" s="15" t="s">
        <v>94</v>
      </c>
      <c r="I89" s="15">
        <v>4</v>
      </c>
      <c r="J89" s="15">
        <v>10000</v>
      </c>
      <c r="K89" s="26"/>
      <c r="M89" s="28">
        <v>7</v>
      </c>
      <c r="N89" s="28" t="s">
        <v>95</v>
      </c>
      <c r="O89" s="28"/>
      <c r="P89" s="28" t="s">
        <v>94</v>
      </c>
      <c r="Q89" s="28">
        <v>30</v>
      </c>
      <c r="R89" s="28"/>
    </row>
    <row r="90" spans="1:18" ht="25.5" customHeight="1">
      <c r="A90" s="54">
        <v>3</v>
      </c>
      <c r="B90" s="33" t="s">
        <v>153</v>
      </c>
      <c r="C90" s="10">
        <f>C91+C92+C93+C94+C95</f>
        <v>48.6</v>
      </c>
      <c r="D90" s="10"/>
      <c r="E90" s="10"/>
      <c r="F90" s="10"/>
      <c r="G90" s="10">
        <f aca="true" t="shared" si="12" ref="G90:G107">SUM(C90:F90)</f>
        <v>48.6</v>
      </c>
      <c r="H90" s="10"/>
      <c r="I90" s="10"/>
      <c r="J90" s="15"/>
      <c r="K90" s="15"/>
      <c r="M90" s="28">
        <v>8</v>
      </c>
      <c r="N90" s="28" t="s">
        <v>96</v>
      </c>
      <c r="O90" s="28"/>
      <c r="P90" s="28" t="s">
        <v>94</v>
      </c>
      <c r="Q90" s="28">
        <v>3</v>
      </c>
      <c r="R90" s="28"/>
    </row>
    <row r="91" spans="1:18" ht="25.5" customHeight="1">
      <c r="A91" s="17">
        <v>3.1</v>
      </c>
      <c r="B91" s="14" t="s">
        <v>154</v>
      </c>
      <c r="C91" s="15">
        <f>I91*J91/10000</f>
        <v>6</v>
      </c>
      <c r="D91" s="15"/>
      <c r="E91" s="15"/>
      <c r="F91" s="15"/>
      <c r="G91" s="15">
        <f t="shared" si="12"/>
        <v>6</v>
      </c>
      <c r="H91" s="15" t="s">
        <v>94</v>
      </c>
      <c r="I91" s="15">
        <v>30</v>
      </c>
      <c r="J91" s="15">
        <v>2000</v>
      </c>
      <c r="K91" s="15"/>
      <c r="M91" s="28">
        <v>9</v>
      </c>
      <c r="N91" s="28" t="s">
        <v>151</v>
      </c>
      <c r="O91" s="28"/>
      <c r="P91" s="28" t="s">
        <v>94</v>
      </c>
      <c r="Q91" s="28">
        <v>3</v>
      </c>
      <c r="R91" s="28"/>
    </row>
    <row r="92" spans="1:18" ht="25.5" customHeight="1">
      <c r="A92" s="17">
        <v>3.2</v>
      </c>
      <c r="B92" s="14" t="s">
        <v>95</v>
      </c>
      <c r="C92" s="15">
        <f>I92*J92/10000</f>
        <v>6</v>
      </c>
      <c r="D92" s="15"/>
      <c r="E92" s="15"/>
      <c r="F92" s="15"/>
      <c r="G92" s="15">
        <f t="shared" si="12"/>
        <v>6</v>
      </c>
      <c r="H92" s="15" t="s">
        <v>94</v>
      </c>
      <c r="I92" s="15">
        <v>30</v>
      </c>
      <c r="J92" s="15">
        <v>2000</v>
      </c>
      <c r="K92" s="15"/>
      <c r="M92" s="28">
        <v>10</v>
      </c>
      <c r="N92" s="28" t="s">
        <v>229</v>
      </c>
      <c r="O92" s="28"/>
      <c r="P92" s="28" t="s">
        <v>94</v>
      </c>
      <c r="Q92" s="28">
        <v>4</v>
      </c>
      <c r="R92" s="28"/>
    </row>
    <row r="93" spans="1:18" ht="25.5" customHeight="1">
      <c r="A93" s="17">
        <v>3.3</v>
      </c>
      <c r="B93" s="14" t="s">
        <v>96</v>
      </c>
      <c r="C93" s="15">
        <f>I93*J93/10000</f>
        <v>0.6</v>
      </c>
      <c r="D93" s="15"/>
      <c r="E93" s="15"/>
      <c r="F93" s="15"/>
      <c r="G93" s="15">
        <f t="shared" si="12"/>
        <v>0.6</v>
      </c>
      <c r="H93" s="15" t="s">
        <v>94</v>
      </c>
      <c r="I93" s="15">
        <v>3</v>
      </c>
      <c r="J93" s="15">
        <v>2000</v>
      </c>
      <c r="K93" s="15"/>
      <c r="M93" s="55"/>
      <c r="N93" s="55"/>
      <c r="O93" s="55"/>
      <c r="P93" s="55"/>
      <c r="Q93" s="55"/>
      <c r="R93" s="55"/>
    </row>
    <row r="94" spans="1:11" ht="25.5" customHeight="1">
      <c r="A94" s="17">
        <v>3.4</v>
      </c>
      <c r="B94" s="14" t="s">
        <v>155</v>
      </c>
      <c r="C94" s="15">
        <f>I94*J94/10000</f>
        <v>20</v>
      </c>
      <c r="D94" s="15"/>
      <c r="E94" s="15"/>
      <c r="F94" s="15"/>
      <c r="G94" s="15">
        <f t="shared" si="12"/>
        <v>20</v>
      </c>
      <c r="H94" s="15" t="s">
        <v>52</v>
      </c>
      <c r="I94" s="15">
        <v>2</v>
      </c>
      <c r="J94" s="15">
        <v>100000</v>
      </c>
      <c r="K94" s="15"/>
    </row>
    <row r="95" spans="1:18" ht="25.5" customHeight="1">
      <c r="A95" s="17">
        <v>3.5</v>
      </c>
      <c r="B95" s="14" t="s">
        <v>156</v>
      </c>
      <c r="C95" s="15">
        <f>I95*J95/10000</f>
        <v>16</v>
      </c>
      <c r="D95" s="15"/>
      <c r="E95" s="15"/>
      <c r="F95" s="15"/>
      <c r="G95" s="15">
        <f t="shared" si="12"/>
        <v>16</v>
      </c>
      <c r="H95" s="15" t="s">
        <v>94</v>
      </c>
      <c r="I95" s="15">
        <v>2</v>
      </c>
      <c r="J95" s="15">
        <v>80000</v>
      </c>
      <c r="K95" s="15"/>
      <c r="N95" s="55"/>
      <c r="O95" s="57"/>
      <c r="P95" s="57"/>
      <c r="Q95" s="58"/>
      <c r="R95" s="55"/>
    </row>
    <row r="96" spans="1:18" ht="25.5" customHeight="1">
      <c r="A96" s="8">
        <v>4</v>
      </c>
      <c r="B96" s="9" t="s">
        <v>174</v>
      </c>
      <c r="C96" s="10">
        <f>C97+C98+C99</f>
        <v>345.981</v>
      </c>
      <c r="D96" s="10"/>
      <c r="E96" s="10"/>
      <c r="F96" s="10"/>
      <c r="G96" s="10">
        <f t="shared" si="12"/>
        <v>345.981</v>
      </c>
      <c r="H96" s="10"/>
      <c r="I96" s="10"/>
      <c r="J96" s="10"/>
      <c r="K96" s="26"/>
      <c r="N96" s="55"/>
      <c r="O96" s="57"/>
      <c r="P96" s="57"/>
      <c r="Q96" s="58"/>
      <c r="R96" s="55"/>
    </row>
    <row r="97" spans="1:18" ht="25.5" customHeight="1">
      <c r="A97" s="6">
        <v>4.1</v>
      </c>
      <c r="B97" s="35" t="s">
        <v>118</v>
      </c>
      <c r="C97" s="15">
        <f>I97*J97/10000</f>
        <v>7.6755</v>
      </c>
      <c r="D97" s="15"/>
      <c r="E97" s="15"/>
      <c r="F97" s="15"/>
      <c r="G97" s="15">
        <f t="shared" si="12"/>
        <v>7.6755</v>
      </c>
      <c r="H97" s="15" t="s">
        <v>100</v>
      </c>
      <c r="I97" s="15">
        <v>10234</v>
      </c>
      <c r="J97" s="15">
        <v>7.5</v>
      </c>
      <c r="K97" s="26"/>
      <c r="N97" s="55"/>
      <c r="O97" s="28" t="s">
        <v>114</v>
      </c>
      <c r="P97" s="28" t="s">
        <v>12</v>
      </c>
      <c r="Q97" s="56" t="s">
        <v>13</v>
      </c>
      <c r="R97" s="55"/>
    </row>
    <row r="98" spans="1:18" ht="25.5" customHeight="1">
      <c r="A98" s="6">
        <v>4.2</v>
      </c>
      <c r="B98" s="35" t="s">
        <v>116</v>
      </c>
      <c r="C98" s="15">
        <f>I98*J98/10000</f>
        <v>307.005</v>
      </c>
      <c r="D98" s="15"/>
      <c r="E98" s="15"/>
      <c r="F98" s="15"/>
      <c r="G98" s="15">
        <f t="shared" si="12"/>
        <v>307.005</v>
      </c>
      <c r="H98" s="15" t="s">
        <v>100</v>
      </c>
      <c r="I98" s="15">
        <v>102335</v>
      </c>
      <c r="J98" s="15">
        <v>30</v>
      </c>
      <c r="K98" s="26"/>
      <c r="N98" s="55"/>
      <c r="O98" s="28" t="s">
        <v>116</v>
      </c>
      <c r="P98" s="28" t="s">
        <v>100</v>
      </c>
      <c r="Q98" s="56">
        <v>102335</v>
      </c>
      <c r="R98" s="55"/>
    </row>
    <row r="99" spans="1:18" ht="25.5" customHeight="1">
      <c r="A99" s="6">
        <v>4.3</v>
      </c>
      <c r="B99" s="35" t="s">
        <v>194</v>
      </c>
      <c r="C99" s="15">
        <f>I99*J99/10000</f>
        <v>31.3005</v>
      </c>
      <c r="D99" s="15"/>
      <c r="E99" s="15"/>
      <c r="F99" s="15"/>
      <c r="G99" s="15">
        <f t="shared" si="12"/>
        <v>31.3005</v>
      </c>
      <c r="H99" s="15" t="s">
        <v>100</v>
      </c>
      <c r="I99" s="15">
        <v>8943</v>
      </c>
      <c r="J99" s="15">
        <v>35</v>
      </c>
      <c r="K99" s="26"/>
      <c r="N99" s="55"/>
      <c r="O99" s="28" t="s">
        <v>118</v>
      </c>
      <c r="P99" s="28" t="s">
        <v>100</v>
      </c>
      <c r="Q99" s="56">
        <f>Q98*0.1</f>
        <v>10233.5</v>
      </c>
      <c r="R99" s="55"/>
    </row>
    <row r="100" spans="1:18" ht="25.5" customHeight="1">
      <c r="A100" s="8">
        <v>5</v>
      </c>
      <c r="B100" s="9" t="s">
        <v>121</v>
      </c>
      <c r="C100" s="10">
        <f>I100*J100/10000</f>
        <v>44.716</v>
      </c>
      <c r="D100" s="10"/>
      <c r="E100" s="10"/>
      <c r="F100" s="10"/>
      <c r="G100" s="10">
        <f t="shared" si="12"/>
        <v>44.716</v>
      </c>
      <c r="H100" s="10" t="s">
        <v>36</v>
      </c>
      <c r="I100" s="10">
        <v>22358</v>
      </c>
      <c r="J100" s="10">
        <v>20</v>
      </c>
      <c r="K100" s="26"/>
      <c r="N100" s="55"/>
      <c r="O100" s="28" t="s">
        <v>121</v>
      </c>
      <c r="P100" s="28" t="s">
        <v>36</v>
      </c>
      <c r="Q100" s="56">
        <f>L100+L103+L112</f>
        <v>0</v>
      </c>
      <c r="R100" s="55"/>
    </row>
    <row r="101" spans="1:18" ht="25.5" customHeight="1">
      <c r="A101" s="8">
        <v>6</v>
      </c>
      <c r="B101" s="9" t="s">
        <v>175</v>
      </c>
      <c r="C101" s="10">
        <f>C102+C103+C104+C105+C106+C107</f>
        <v>631.8775</v>
      </c>
      <c r="D101" s="10"/>
      <c r="E101" s="10"/>
      <c r="F101" s="10"/>
      <c r="G101" s="10">
        <f t="shared" si="12"/>
        <v>631.8775</v>
      </c>
      <c r="H101" s="10"/>
      <c r="I101" s="10"/>
      <c r="J101" s="10"/>
      <c r="K101" s="46"/>
      <c r="N101" s="55"/>
      <c r="O101" s="28" t="s">
        <v>194</v>
      </c>
      <c r="P101" s="28" t="s">
        <v>100</v>
      </c>
      <c r="Q101" s="56">
        <f>Q100*0.4</f>
        <v>0</v>
      </c>
      <c r="R101" s="55"/>
    </row>
    <row r="102" spans="1:18" ht="25.5" customHeight="1">
      <c r="A102" s="17">
        <v>6.1</v>
      </c>
      <c r="B102" s="34" t="s">
        <v>230</v>
      </c>
      <c r="C102" s="15">
        <f aca="true" t="shared" si="13" ref="C102:C107">I102*J102/10000</f>
        <v>36.4455</v>
      </c>
      <c r="D102" s="15"/>
      <c r="E102" s="15"/>
      <c r="F102" s="15"/>
      <c r="G102" s="15">
        <f t="shared" si="12"/>
        <v>36.4455</v>
      </c>
      <c r="H102" s="15" t="s">
        <v>36</v>
      </c>
      <c r="I102" s="15">
        <v>10413</v>
      </c>
      <c r="J102" s="15">
        <v>35</v>
      </c>
      <c r="K102" s="46"/>
      <c r="N102" s="55"/>
      <c r="O102" s="57"/>
      <c r="P102" s="57"/>
      <c r="Q102" s="58"/>
      <c r="R102" s="55"/>
    </row>
    <row r="103" spans="1:11" ht="25.5" customHeight="1">
      <c r="A103" s="17">
        <v>6.2</v>
      </c>
      <c r="B103" s="35" t="s">
        <v>177</v>
      </c>
      <c r="C103" s="15">
        <f t="shared" si="13"/>
        <v>513.342</v>
      </c>
      <c r="D103" s="15"/>
      <c r="E103" s="15"/>
      <c r="F103" s="15"/>
      <c r="G103" s="15">
        <f t="shared" si="12"/>
        <v>513.342</v>
      </c>
      <c r="H103" s="15" t="s">
        <v>36</v>
      </c>
      <c r="I103" s="15">
        <v>54036</v>
      </c>
      <c r="J103" s="15">
        <v>95</v>
      </c>
      <c r="K103" s="46"/>
    </row>
    <row r="104" spans="1:11" ht="25.5" customHeight="1">
      <c r="A104" s="17">
        <v>6.3</v>
      </c>
      <c r="B104" s="35" t="s">
        <v>231</v>
      </c>
      <c r="C104" s="15">
        <f t="shared" si="13"/>
        <v>13.09</v>
      </c>
      <c r="D104" s="15"/>
      <c r="E104" s="15"/>
      <c r="F104" s="15"/>
      <c r="G104" s="15">
        <f t="shared" si="12"/>
        <v>13.09</v>
      </c>
      <c r="H104" s="15" t="s">
        <v>36</v>
      </c>
      <c r="I104" s="15">
        <v>1309</v>
      </c>
      <c r="J104" s="15">
        <v>100</v>
      </c>
      <c r="K104" s="46"/>
    </row>
    <row r="105" spans="1:11" ht="25.5" customHeight="1">
      <c r="A105" s="17">
        <v>6.4</v>
      </c>
      <c r="B105" s="35" t="s">
        <v>232</v>
      </c>
      <c r="C105" s="15">
        <f t="shared" si="13"/>
        <v>6.14</v>
      </c>
      <c r="D105" s="15"/>
      <c r="E105" s="15"/>
      <c r="F105" s="15"/>
      <c r="G105" s="15">
        <f t="shared" si="12"/>
        <v>6.14</v>
      </c>
      <c r="H105" s="15" t="s">
        <v>36</v>
      </c>
      <c r="I105" s="15">
        <v>614</v>
      </c>
      <c r="J105" s="15">
        <v>100</v>
      </c>
      <c r="K105" s="46"/>
    </row>
    <row r="106" spans="1:11" ht="25.5" customHeight="1">
      <c r="A106" s="17">
        <v>6.5</v>
      </c>
      <c r="B106" s="35" t="s">
        <v>233</v>
      </c>
      <c r="C106" s="15">
        <f t="shared" si="13"/>
        <v>54.34</v>
      </c>
      <c r="D106" s="15"/>
      <c r="E106" s="15"/>
      <c r="F106" s="15"/>
      <c r="G106" s="15">
        <f t="shared" si="12"/>
        <v>54.34</v>
      </c>
      <c r="H106" s="15" t="s">
        <v>36</v>
      </c>
      <c r="I106" s="15">
        <v>5434</v>
      </c>
      <c r="J106" s="15">
        <v>100</v>
      </c>
      <c r="K106" s="46"/>
    </row>
    <row r="107" spans="1:11" ht="25.5" customHeight="1">
      <c r="A107" s="17">
        <v>6.6</v>
      </c>
      <c r="B107" s="35" t="s">
        <v>234</v>
      </c>
      <c r="C107" s="15">
        <f t="shared" si="13"/>
        <v>8.52</v>
      </c>
      <c r="D107" s="15"/>
      <c r="E107" s="15"/>
      <c r="F107" s="15"/>
      <c r="G107" s="15">
        <f t="shared" si="12"/>
        <v>8.52</v>
      </c>
      <c r="H107" s="15" t="s">
        <v>94</v>
      </c>
      <c r="I107" s="15">
        <v>284</v>
      </c>
      <c r="J107" s="15">
        <v>300</v>
      </c>
      <c r="K107" s="46"/>
    </row>
    <row r="108" spans="1:11" ht="25.5" customHeight="1">
      <c r="A108" s="8" t="s">
        <v>235</v>
      </c>
      <c r="B108" s="9" t="s">
        <v>236</v>
      </c>
      <c r="C108" s="10" t="e">
        <f>C109+C128+C140+C146+C150+C151</f>
        <v>#REF!</v>
      </c>
      <c r="D108" s="10">
        <f>D109+D128+D140+D146+D150+D151</f>
        <v>217.62999999999997</v>
      </c>
      <c r="E108" s="10">
        <f>E109+E128+E140+E146+E150+E151</f>
        <v>27</v>
      </c>
      <c r="F108" s="10">
        <f>F109+F128+F140+F146+F150+F151</f>
        <v>0</v>
      </c>
      <c r="G108" s="10" t="e">
        <f>G109+G128+G140+G146+G150+G151</f>
        <v>#REF!</v>
      </c>
      <c r="H108" s="12"/>
      <c r="I108" s="21"/>
      <c r="J108" s="25"/>
      <c r="K108" s="26"/>
    </row>
    <row r="109" spans="1:11" ht="25.5" customHeight="1">
      <c r="A109" s="53">
        <v>1</v>
      </c>
      <c r="B109" s="33" t="s">
        <v>237</v>
      </c>
      <c r="C109" s="10">
        <f>SUM(C110:C127)</f>
        <v>11154.977</v>
      </c>
      <c r="D109" s="10"/>
      <c r="E109" s="10"/>
      <c r="F109" s="10"/>
      <c r="G109" s="10">
        <f aca="true" t="shared" si="14" ref="G109:G128">SUM(C109:F109)</f>
        <v>11154.977</v>
      </c>
      <c r="H109" s="15"/>
      <c r="I109" s="15"/>
      <c r="J109" s="15"/>
      <c r="K109" s="26"/>
    </row>
    <row r="110" spans="1:11" ht="25.5" customHeight="1">
      <c r="A110" s="16">
        <v>1.1</v>
      </c>
      <c r="B110" s="22" t="s">
        <v>238</v>
      </c>
      <c r="C110" s="15">
        <f aca="true" t="shared" si="15" ref="C110:C127">I110*J110/10000</f>
        <v>1227.7</v>
      </c>
      <c r="D110" s="15"/>
      <c r="E110" s="15"/>
      <c r="F110" s="15"/>
      <c r="G110" s="15">
        <f t="shared" si="14"/>
        <v>1227.7</v>
      </c>
      <c r="H110" s="15" t="s">
        <v>36</v>
      </c>
      <c r="I110" s="15">
        <v>61385</v>
      </c>
      <c r="J110" s="15">
        <v>200</v>
      </c>
      <c r="K110" s="26"/>
    </row>
    <row r="111" spans="1:11" ht="25.5" customHeight="1">
      <c r="A111" s="16">
        <v>1.2</v>
      </c>
      <c r="B111" s="22" t="s">
        <v>239</v>
      </c>
      <c r="C111" s="15">
        <f t="shared" si="15"/>
        <v>567.76</v>
      </c>
      <c r="D111" s="15"/>
      <c r="E111" s="15"/>
      <c r="F111" s="15"/>
      <c r="G111" s="15">
        <f t="shared" si="14"/>
        <v>567.76</v>
      </c>
      <c r="H111" s="15" t="s">
        <v>36</v>
      </c>
      <c r="I111" s="15">
        <v>35485</v>
      </c>
      <c r="J111" s="15">
        <v>160</v>
      </c>
      <c r="K111" s="26"/>
    </row>
    <row r="112" spans="1:11" ht="25.5" customHeight="1">
      <c r="A112" s="17">
        <v>1.3</v>
      </c>
      <c r="B112" s="22" t="s">
        <v>240</v>
      </c>
      <c r="C112" s="15">
        <f t="shared" si="15"/>
        <v>970.29</v>
      </c>
      <c r="D112" s="15"/>
      <c r="E112" s="15"/>
      <c r="F112" s="15"/>
      <c r="G112" s="15">
        <f t="shared" si="14"/>
        <v>970.29</v>
      </c>
      <c r="H112" s="15" t="s">
        <v>36</v>
      </c>
      <c r="I112" s="15">
        <v>32343</v>
      </c>
      <c r="J112" s="15">
        <v>300</v>
      </c>
      <c r="K112" s="26"/>
    </row>
    <row r="113" spans="1:11" ht="25.5" customHeight="1">
      <c r="A113" s="17">
        <v>1.4</v>
      </c>
      <c r="B113" s="14" t="s">
        <v>241</v>
      </c>
      <c r="C113" s="15">
        <f t="shared" si="15"/>
        <v>1524</v>
      </c>
      <c r="D113" s="15"/>
      <c r="E113" s="15"/>
      <c r="F113" s="15"/>
      <c r="G113" s="15">
        <f t="shared" si="14"/>
        <v>1524</v>
      </c>
      <c r="H113" s="15" t="s">
        <v>36</v>
      </c>
      <c r="I113" s="15">
        <v>25400</v>
      </c>
      <c r="J113" s="15">
        <v>600</v>
      </c>
      <c r="K113" s="26"/>
    </row>
    <row r="114" spans="1:11" ht="25.5" customHeight="1">
      <c r="A114" s="17">
        <v>1.5</v>
      </c>
      <c r="B114" s="14" t="s">
        <v>242</v>
      </c>
      <c r="C114" s="15">
        <f t="shared" si="15"/>
        <v>124.62</v>
      </c>
      <c r="D114" s="15"/>
      <c r="E114" s="15"/>
      <c r="F114" s="15"/>
      <c r="G114" s="15">
        <f t="shared" si="14"/>
        <v>124.62</v>
      </c>
      <c r="H114" s="15" t="s">
        <v>36</v>
      </c>
      <c r="I114" s="15">
        <v>2077</v>
      </c>
      <c r="J114" s="15">
        <f>J113</f>
        <v>600</v>
      </c>
      <c r="K114" s="26"/>
    </row>
    <row r="115" spans="1:11" ht="25.5" customHeight="1">
      <c r="A115" s="16">
        <v>1.6</v>
      </c>
      <c r="B115" s="14" t="s">
        <v>243</v>
      </c>
      <c r="C115" s="15">
        <f t="shared" si="15"/>
        <v>1975.68</v>
      </c>
      <c r="D115" s="15"/>
      <c r="E115" s="15"/>
      <c r="F115" s="15"/>
      <c r="G115" s="15">
        <f t="shared" si="14"/>
        <v>1975.68</v>
      </c>
      <c r="H115" s="15" t="s">
        <v>36</v>
      </c>
      <c r="I115" s="15">
        <v>32928</v>
      </c>
      <c r="J115" s="15">
        <f>J113</f>
        <v>600</v>
      </c>
      <c r="K115" s="26"/>
    </row>
    <row r="116" spans="1:11" ht="25.5" customHeight="1">
      <c r="A116" s="16">
        <v>1.7</v>
      </c>
      <c r="B116" s="14" t="s">
        <v>244</v>
      </c>
      <c r="C116" s="15">
        <f t="shared" si="15"/>
        <v>77.2</v>
      </c>
      <c r="D116" s="15"/>
      <c r="E116" s="15"/>
      <c r="F116" s="15"/>
      <c r="G116" s="15">
        <f t="shared" si="14"/>
        <v>77.2</v>
      </c>
      <c r="H116" s="15" t="s">
        <v>36</v>
      </c>
      <c r="I116" s="15">
        <v>1930</v>
      </c>
      <c r="J116" s="15">
        <v>400</v>
      </c>
      <c r="K116" s="29"/>
    </row>
    <row r="117" spans="1:11" ht="25.5" customHeight="1">
      <c r="A117" s="16">
        <v>1.8</v>
      </c>
      <c r="B117" s="14" t="s">
        <v>119</v>
      </c>
      <c r="C117" s="15">
        <f t="shared" si="15"/>
        <v>17.8</v>
      </c>
      <c r="D117" s="15"/>
      <c r="E117" s="15"/>
      <c r="F117" s="15"/>
      <c r="G117" s="15">
        <f t="shared" si="14"/>
        <v>17.8</v>
      </c>
      <c r="H117" s="15" t="s">
        <v>36</v>
      </c>
      <c r="I117" s="15">
        <v>890</v>
      </c>
      <c r="J117" s="15">
        <f>J59</f>
        <v>200</v>
      </c>
      <c r="K117" s="29"/>
    </row>
    <row r="118" spans="1:11" ht="25.5" customHeight="1">
      <c r="A118" s="16">
        <v>1.9</v>
      </c>
      <c r="B118" s="14" t="s">
        <v>245</v>
      </c>
      <c r="C118" s="15">
        <f t="shared" si="15"/>
        <v>97.38</v>
      </c>
      <c r="D118" s="15"/>
      <c r="E118" s="15"/>
      <c r="F118" s="15"/>
      <c r="G118" s="15">
        <f t="shared" si="14"/>
        <v>97.38</v>
      </c>
      <c r="H118" s="15" t="s">
        <v>36</v>
      </c>
      <c r="I118" s="15">
        <v>2164</v>
      </c>
      <c r="J118" s="15">
        <v>450</v>
      </c>
      <c r="K118" s="29"/>
    </row>
    <row r="119" spans="1:11" ht="25.5" customHeight="1">
      <c r="A119" s="19">
        <v>1.1</v>
      </c>
      <c r="B119" s="14" t="s">
        <v>246</v>
      </c>
      <c r="C119" s="15">
        <f t="shared" si="15"/>
        <v>1167.32</v>
      </c>
      <c r="D119" s="15"/>
      <c r="E119" s="15"/>
      <c r="F119" s="15"/>
      <c r="G119" s="15">
        <f t="shared" si="14"/>
        <v>1167.32</v>
      </c>
      <c r="H119" s="15" t="s">
        <v>36</v>
      </c>
      <c r="I119" s="15">
        <v>4169</v>
      </c>
      <c r="J119" s="15">
        <v>2800</v>
      </c>
      <c r="K119" s="29"/>
    </row>
    <row r="120" spans="1:11" ht="25.5" customHeight="1">
      <c r="A120" s="19">
        <v>1.11</v>
      </c>
      <c r="B120" s="14" t="s">
        <v>207</v>
      </c>
      <c r="C120" s="15">
        <f t="shared" si="15"/>
        <v>12.807</v>
      </c>
      <c r="D120" s="15"/>
      <c r="E120" s="15"/>
      <c r="F120" s="15"/>
      <c r="G120" s="15">
        <f t="shared" si="14"/>
        <v>12.807</v>
      </c>
      <c r="H120" s="15" t="s">
        <v>36</v>
      </c>
      <c r="I120" s="15">
        <v>4269</v>
      </c>
      <c r="J120" s="15">
        <f>J98</f>
        <v>30</v>
      </c>
      <c r="K120" s="29"/>
    </row>
    <row r="121" spans="1:11" ht="25.5" customHeight="1">
      <c r="A121" s="19">
        <v>1.12</v>
      </c>
      <c r="B121" s="22" t="s">
        <v>124</v>
      </c>
      <c r="C121" s="15">
        <f t="shared" si="15"/>
        <v>1288.48</v>
      </c>
      <c r="D121" s="15"/>
      <c r="E121" s="15"/>
      <c r="F121" s="15"/>
      <c r="G121" s="15">
        <f t="shared" si="14"/>
        <v>1288.48</v>
      </c>
      <c r="H121" s="15" t="s">
        <v>36</v>
      </c>
      <c r="I121" s="15">
        <v>8053</v>
      </c>
      <c r="J121" s="15">
        <v>1600</v>
      </c>
      <c r="K121" s="29"/>
    </row>
    <row r="122" spans="1:11" ht="25.5" customHeight="1">
      <c r="A122" s="19">
        <v>1.13</v>
      </c>
      <c r="B122" s="22" t="s">
        <v>247</v>
      </c>
      <c r="C122" s="15">
        <f t="shared" si="15"/>
        <v>579.79</v>
      </c>
      <c r="D122" s="15"/>
      <c r="E122" s="15"/>
      <c r="F122" s="15"/>
      <c r="G122" s="15">
        <f t="shared" si="14"/>
        <v>579.79</v>
      </c>
      <c r="H122" s="15" t="s">
        <v>36</v>
      </c>
      <c r="I122" s="15">
        <v>57979</v>
      </c>
      <c r="J122" s="15">
        <v>100</v>
      </c>
      <c r="K122" s="29"/>
    </row>
    <row r="123" spans="1:11" ht="25.5" customHeight="1">
      <c r="A123" s="19">
        <v>1.14</v>
      </c>
      <c r="B123" s="22" t="s">
        <v>248</v>
      </c>
      <c r="C123" s="15">
        <f t="shared" si="15"/>
        <v>1299</v>
      </c>
      <c r="D123" s="15"/>
      <c r="E123" s="15"/>
      <c r="F123" s="15"/>
      <c r="G123" s="15">
        <f t="shared" si="14"/>
        <v>1299</v>
      </c>
      <c r="H123" s="15" t="s">
        <v>36</v>
      </c>
      <c r="I123" s="15">
        <v>6495</v>
      </c>
      <c r="J123" s="15">
        <v>2000</v>
      </c>
      <c r="K123" s="29"/>
    </row>
    <row r="124" spans="1:11" ht="25.5" customHeight="1">
      <c r="A124" s="19">
        <v>1.15</v>
      </c>
      <c r="B124" s="22" t="s">
        <v>249</v>
      </c>
      <c r="C124" s="15">
        <f t="shared" si="15"/>
        <v>1.65</v>
      </c>
      <c r="D124" s="15"/>
      <c r="E124" s="15"/>
      <c r="F124" s="15"/>
      <c r="G124" s="15">
        <f t="shared" si="14"/>
        <v>1.65</v>
      </c>
      <c r="H124" s="15" t="s">
        <v>94</v>
      </c>
      <c r="I124" s="15">
        <v>11</v>
      </c>
      <c r="J124" s="15">
        <v>1500</v>
      </c>
      <c r="K124" s="29"/>
    </row>
    <row r="125" spans="1:11" ht="25.5" customHeight="1">
      <c r="A125" s="19">
        <v>1.16</v>
      </c>
      <c r="B125" s="22" t="s">
        <v>250</v>
      </c>
      <c r="C125" s="15">
        <f t="shared" si="15"/>
        <v>12.3</v>
      </c>
      <c r="D125" s="15"/>
      <c r="E125" s="15"/>
      <c r="F125" s="15"/>
      <c r="G125" s="15">
        <f t="shared" si="14"/>
        <v>12.3</v>
      </c>
      <c r="H125" s="15" t="s">
        <v>94</v>
      </c>
      <c r="I125" s="15">
        <v>82</v>
      </c>
      <c r="J125" s="15">
        <v>1500</v>
      </c>
      <c r="K125" s="29"/>
    </row>
    <row r="126" spans="1:11" ht="25.5" customHeight="1">
      <c r="A126" s="19">
        <v>1.17</v>
      </c>
      <c r="B126" s="22" t="s">
        <v>127</v>
      </c>
      <c r="C126" s="15">
        <f t="shared" si="15"/>
        <v>200</v>
      </c>
      <c r="D126" s="15"/>
      <c r="E126" s="15"/>
      <c r="F126" s="15"/>
      <c r="G126" s="15">
        <f t="shared" si="14"/>
        <v>200</v>
      </c>
      <c r="H126" s="15" t="s">
        <v>251</v>
      </c>
      <c r="I126" s="15">
        <v>1</v>
      </c>
      <c r="J126" s="15">
        <v>2000000</v>
      </c>
      <c r="K126" s="29"/>
    </row>
    <row r="127" spans="1:11" ht="25.5" customHeight="1">
      <c r="A127" s="19">
        <v>1.18</v>
      </c>
      <c r="B127" s="14" t="s">
        <v>252</v>
      </c>
      <c r="C127" s="15">
        <f t="shared" si="15"/>
        <v>11.2</v>
      </c>
      <c r="D127" s="15"/>
      <c r="E127" s="15"/>
      <c r="F127" s="15"/>
      <c r="G127" s="15">
        <f t="shared" si="14"/>
        <v>11.2</v>
      </c>
      <c r="H127" s="15" t="s">
        <v>94</v>
      </c>
      <c r="I127" s="15">
        <v>14</v>
      </c>
      <c r="J127" s="15">
        <v>8000</v>
      </c>
      <c r="K127" s="29"/>
    </row>
    <row r="128" spans="1:11" ht="25.5" customHeight="1">
      <c r="A128" s="8">
        <v>2</v>
      </c>
      <c r="B128" s="33" t="s">
        <v>139</v>
      </c>
      <c r="C128" s="10">
        <f>SUM(C129:C139)</f>
        <v>0</v>
      </c>
      <c r="D128" s="10">
        <f>SUM(D129:D139)</f>
        <v>217.62999999999997</v>
      </c>
      <c r="E128" s="10">
        <f>SUM(E129:E139)</f>
        <v>27</v>
      </c>
      <c r="F128" s="10">
        <f>SUM(F129:F137)</f>
        <v>0</v>
      </c>
      <c r="G128" s="10">
        <f t="shared" si="14"/>
        <v>244.62999999999997</v>
      </c>
      <c r="H128" s="10"/>
      <c r="I128" s="10"/>
      <c r="J128" s="15"/>
      <c r="K128" s="26"/>
    </row>
    <row r="129" spans="1:11" ht="25.5" customHeight="1">
      <c r="A129" s="6">
        <v>2.1</v>
      </c>
      <c r="B129" s="14" t="s">
        <v>253</v>
      </c>
      <c r="C129" s="15"/>
      <c r="D129" s="15">
        <f>E129*0.1</f>
        <v>2.7</v>
      </c>
      <c r="E129" s="15">
        <v>27</v>
      </c>
      <c r="F129" s="15"/>
      <c r="G129" s="15">
        <f aca="true" t="shared" si="16" ref="G129:G139">SUM(D129:F129)</f>
        <v>29.7</v>
      </c>
      <c r="H129" s="15" t="s">
        <v>141</v>
      </c>
      <c r="I129" s="15">
        <v>1</v>
      </c>
      <c r="J129" s="15">
        <f>G129*10000</f>
        <v>297000</v>
      </c>
      <c r="K129" s="26"/>
    </row>
    <row r="130" spans="1:11" ht="25.5" customHeight="1">
      <c r="A130" s="6">
        <v>2.2</v>
      </c>
      <c r="B130" s="14" t="s">
        <v>142</v>
      </c>
      <c r="C130" s="15"/>
      <c r="D130" s="15">
        <f aca="true" t="shared" si="17" ref="D130:D139">I130*J130/10000</f>
        <v>20</v>
      </c>
      <c r="E130" s="15"/>
      <c r="F130" s="15"/>
      <c r="G130" s="15">
        <f t="shared" si="16"/>
        <v>20</v>
      </c>
      <c r="H130" s="15" t="s">
        <v>143</v>
      </c>
      <c r="I130" s="15">
        <v>1</v>
      </c>
      <c r="J130" s="15">
        <v>200000</v>
      </c>
      <c r="K130" s="26"/>
    </row>
    <row r="131" spans="1:11" ht="25.5" customHeight="1">
      <c r="A131" s="6">
        <v>2.3</v>
      </c>
      <c r="B131" s="14" t="s">
        <v>144</v>
      </c>
      <c r="C131" s="15"/>
      <c r="D131" s="15">
        <f t="shared" si="17"/>
        <v>42</v>
      </c>
      <c r="E131" s="15"/>
      <c r="F131" s="15"/>
      <c r="G131" s="15">
        <f t="shared" si="16"/>
        <v>42</v>
      </c>
      <c r="H131" s="15" t="s">
        <v>143</v>
      </c>
      <c r="I131" s="15">
        <v>5</v>
      </c>
      <c r="J131" s="15">
        <v>84000</v>
      </c>
      <c r="K131" s="26"/>
    </row>
    <row r="132" spans="1:11" ht="25.5" customHeight="1">
      <c r="A132" s="6">
        <v>2.4</v>
      </c>
      <c r="B132" s="14" t="s">
        <v>145</v>
      </c>
      <c r="C132" s="15"/>
      <c r="D132" s="15">
        <f t="shared" si="17"/>
        <v>40</v>
      </c>
      <c r="E132" s="15"/>
      <c r="F132" s="15"/>
      <c r="G132" s="15">
        <f t="shared" si="16"/>
        <v>40</v>
      </c>
      <c r="H132" s="15" t="s">
        <v>143</v>
      </c>
      <c r="I132" s="15">
        <v>2</v>
      </c>
      <c r="J132" s="15">
        <v>200000</v>
      </c>
      <c r="K132" s="26"/>
    </row>
    <row r="133" spans="1:11" ht="25.5" customHeight="1">
      <c r="A133" s="6">
        <v>2.5</v>
      </c>
      <c r="B133" s="14" t="s">
        <v>146</v>
      </c>
      <c r="C133" s="15"/>
      <c r="D133" s="15">
        <f t="shared" si="17"/>
        <v>55.25</v>
      </c>
      <c r="E133" s="15"/>
      <c r="F133" s="15"/>
      <c r="G133" s="15">
        <f t="shared" si="16"/>
        <v>55.25</v>
      </c>
      <c r="H133" s="15" t="s">
        <v>147</v>
      </c>
      <c r="I133" s="15">
        <v>221</v>
      </c>
      <c r="J133" s="15">
        <v>2500</v>
      </c>
      <c r="K133" s="26"/>
    </row>
    <row r="134" spans="1:11" ht="25.5" customHeight="1">
      <c r="A134" s="6">
        <v>2.6</v>
      </c>
      <c r="B134" s="14" t="s">
        <v>148</v>
      </c>
      <c r="C134" s="15"/>
      <c r="D134" s="15">
        <f t="shared" si="17"/>
        <v>35.8</v>
      </c>
      <c r="E134" s="15"/>
      <c r="F134" s="15"/>
      <c r="G134" s="15">
        <f t="shared" si="16"/>
        <v>35.8</v>
      </c>
      <c r="H134" s="15" t="s">
        <v>147</v>
      </c>
      <c r="I134" s="15">
        <v>179</v>
      </c>
      <c r="J134" s="15">
        <v>2000</v>
      </c>
      <c r="K134" s="26"/>
    </row>
    <row r="135" spans="1:11" ht="25.5" customHeight="1">
      <c r="A135" s="6">
        <v>2.7</v>
      </c>
      <c r="B135" s="14" t="s">
        <v>149</v>
      </c>
      <c r="C135" s="15"/>
      <c r="D135" s="15">
        <f t="shared" si="17"/>
        <v>7.7</v>
      </c>
      <c r="E135" s="15"/>
      <c r="F135" s="15"/>
      <c r="G135" s="15">
        <f t="shared" si="16"/>
        <v>7.7</v>
      </c>
      <c r="H135" s="15" t="s">
        <v>147</v>
      </c>
      <c r="I135" s="15">
        <v>77</v>
      </c>
      <c r="J135" s="15">
        <v>1000</v>
      </c>
      <c r="K135" s="26"/>
    </row>
    <row r="136" spans="1:11" ht="25.5" customHeight="1">
      <c r="A136" s="6">
        <v>2.8</v>
      </c>
      <c r="B136" s="14" t="s">
        <v>254</v>
      </c>
      <c r="C136" s="15"/>
      <c r="D136" s="15">
        <f t="shared" si="17"/>
        <v>8.2</v>
      </c>
      <c r="E136" s="15"/>
      <c r="F136" s="15"/>
      <c r="G136" s="15">
        <f t="shared" si="16"/>
        <v>8.2</v>
      </c>
      <c r="H136" s="15" t="s">
        <v>147</v>
      </c>
      <c r="I136" s="15">
        <v>82</v>
      </c>
      <c r="J136" s="15">
        <v>1000</v>
      </c>
      <c r="K136" s="26"/>
    </row>
    <row r="137" spans="1:11" ht="25.5" customHeight="1">
      <c r="A137" s="6">
        <v>2.9</v>
      </c>
      <c r="B137" s="14" t="s">
        <v>150</v>
      </c>
      <c r="C137" s="15"/>
      <c r="D137" s="15">
        <f t="shared" si="17"/>
        <v>0.48</v>
      </c>
      <c r="E137" s="15"/>
      <c r="F137" s="15"/>
      <c r="G137" s="15">
        <f t="shared" si="16"/>
        <v>0.48</v>
      </c>
      <c r="H137" s="15" t="s">
        <v>147</v>
      </c>
      <c r="I137" s="15">
        <v>8</v>
      </c>
      <c r="J137" s="15">
        <v>600</v>
      </c>
      <c r="K137" s="26"/>
    </row>
    <row r="138" spans="1:11" ht="25.5" customHeight="1">
      <c r="A138" s="32">
        <v>2.1</v>
      </c>
      <c r="B138" s="14" t="s">
        <v>151</v>
      </c>
      <c r="C138" s="15"/>
      <c r="D138" s="15">
        <f t="shared" si="17"/>
        <v>1.5</v>
      </c>
      <c r="E138" s="15"/>
      <c r="F138" s="15"/>
      <c r="G138" s="15">
        <f t="shared" si="16"/>
        <v>1.5</v>
      </c>
      <c r="H138" s="15" t="s">
        <v>94</v>
      </c>
      <c r="I138" s="15">
        <v>5</v>
      </c>
      <c r="J138" s="15">
        <v>3000</v>
      </c>
      <c r="K138" s="26"/>
    </row>
    <row r="139" spans="1:11" ht="25.5" customHeight="1">
      <c r="A139" s="32">
        <v>2.11</v>
      </c>
      <c r="B139" s="14" t="s">
        <v>152</v>
      </c>
      <c r="C139" s="15"/>
      <c r="D139" s="15">
        <f t="shared" si="17"/>
        <v>4</v>
      </c>
      <c r="E139" s="15"/>
      <c r="F139" s="15"/>
      <c r="G139" s="15">
        <f t="shared" si="16"/>
        <v>4</v>
      </c>
      <c r="H139" s="15" t="s">
        <v>94</v>
      </c>
      <c r="I139" s="15">
        <v>4</v>
      </c>
      <c r="J139" s="15">
        <v>10000</v>
      </c>
      <c r="K139" s="26"/>
    </row>
    <row r="140" spans="1:11" ht="25.5" customHeight="1">
      <c r="A140" s="54">
        <v>3</v>
      </c>
      <c r="B140" s="33" t="s">
        <v>153</v>
      </c>
      <c r="C140" s="10">
        <f>C141+C142+C143+C144+C145</f>
        <v>34</v>
      </c>
      <c r="D140" s="10"/>
      <c r="E140" s="10"/>
      <c r="F140" s="10"/>
      <c r="G140" s="10">
        <f aca="true" t="shared" si="18" ref="G140:G153">SUM(C140:F140)</f>
        <v>34</v>
      </c>
      <c r="H140" s="10"/>
      <c r="I140" s="10"/>
      <c r="J140" s="15"/>
      <c r="K140" s="15"/>
    </row>
    <row r="141" spans="1:11" ht="25.5" customHeight="1">
      <c r="A141" s="17">
        <v>3.1</v>
      </c>
      <c r="B141" s="14" t="s">
        <v>154</v>
      </c>
      <c r="C141" s="15">
        <f>I141*J141/10000</f>
        <v>7.6</v>
      </c>
      <c r="D141" s="15"/>
      <c r="E141" s="15"/>
      <c r="F141" s="15"/>
      <c r="G141" s="15">
        <f t="shared" si="18"/>
        <v>7.6</v>
      </c>
      <c r="H141" s="15" t="s">
        <v>94</v>
      </c>
      <c r="I141" s="15">
        <v>38</v>
      </c>
      <c r="J141" s="15">
        <v>2000</v>
      </c>
      <c r="K141" s="15"/>
    </row>
    <row r="142" spans="1:11" ht="25.5" customHeight="1">
      <c r="A142" s="17">
        <v>3.2</v>
      </c>
      <c r="B142" s="14" t="s">
        <v>95</v>
      </c>
      <c r="C142" s="15">
        <f>I142*J142/10000</f>
        <v>7.6</v>
      </c>
      <c r="D142" s="15"/>
      <c r="E142" s="15"/>
      <c r="F142" s="15"/>
      <c r="G142" s="15">
        <f t="shared" si="18"/>
        <v>7.6</v>
      </c>
      <c r="H142" s="15" t="s">
        <v>94</v>
      </c>
      <c r="I142" s="15">
        <v>38</v>
      </c>
      <c r="J142" s="15">
        <v>2000</v>
      </c>
      <c r="K142" s="15"/>
    </row>
    <row r="143" spans="1:11" ht="25.5" customHeight="1">
      <c r="A143" s="17">
        <v>3.3</v>
      </c>
      <c r="B143" s="14" t="s">
        <v>96</v>
      </c>
      <c r="C143" s="15">
        <f>I143*J143/10000</f>
        <v>0.8</v>
      </c>
      <c r="D143" s="15"/>
      <c r="E143" s="15"/>
      <c r="F143" s="15"/>
      <c r="G143" s="15">
        <f t="shared" si="18"/>
        <v>0.8</v>
      </c>
      <c r="H143" s="15" t="s">
        <v>94</v>
      </c>
      <c r="I143" s="15">
        <v>4</v>
      </c>
      <c r="J143" s="15">
        <v>2000</v>
      </c>
      <c r="K143" s="15"/>
    </row>
    <row r="144" spans="1:11" ht="25.5" customHeight="1">
      <c r="A144" s="17">
        <v>3.4</v>
      </c>
      <c r="B144" s="14" t="s">
        <v>155</v>
      </c>
      <c r="C144" s="15">
        <f>I144*J144/10000</f>
        <v>10</v>
      </c>
      <c r="D144" s="15"/>
      <c r="E144" s="15"/>
      <c r="F144" s="15"/>
      <c r="G144" s="15">
        <f t="shared" si="18"/>
        <v>10</v>
      </c>
      <c r="H144" s="15" t="s">
        <v>52</v>
      </c>
      <c r="I144" s="15">
        <v>1</v>
      </c>
      <c r="J144" s="15">
        <v>100000</v>
      </c>
      <c r="K144" s="15"/>
    </row>
    <row r="145" spans="1:11" ht="25.5" customHeight="1">
      <c r="A145" s="17">
        <v>3.5</v>
      </c>
      <c r="B145" s="14" t="s">
        <v>156</v>
      </c>
      <c r="C145" s="15">
        <f>I145*J145/10000</f>
        <v>8</v>
      </c>
      <c r="D145" s="15"/>
      <c r="E145" s="15"/>
      <c r="F145" s="15"/>
      <c r="G145" s="15">
        <f t="shared" si="18"/>
        <v>8</v>
      </c>
      <c r="H145" s="15" t="s">
        <v>94</v>
      </c>
      <c r="I145" s="15">
        <v>1</v>
      </c>
      <c r="J145" s="15">
        <v>80000</v>
      </c>
      <c r="K145" s="15"/>
    </row>
    <row r="146" spans="1:11" ht="25.5" customHeight="1">
      <c r="A146" s="8">
        <v>4</v>
      </c>
      <c r="B146" s="9" t="s">
        <v>174</v>
      </c>
      <c r="C146" s="10">
        <f>C147+C148+C149</f>
        <v>454.7535</v>
      </c>
      <c r="D146" s="10"/>
      <c r="E146" s="10"/>
      <c r="F146" s="10"/>
      <c r="G146" s="10">
        <f t="shared" si="18"/>
        <v>454.7535</v>
      </c>
      <c r="H146" s="10"/>
      <c r="I146" s="10"/>
      <c r="J146" s="10"/>
      <c r="K146" s="26"/>
    </row>
    <row r="147" spans="1:11" ht="25.5" customHeight="1">
      <c r="A147" s="6">
        <v>4.1</v>
      </c>
      <c r="B147" s="35" t="s">
        <v>118</v>
      </c>
      <c r="C147" s="15">
        <f>I147*J147/10000</f>
        <v>7.7835</v>
      </c>
      <c r="D147" s="15"/>
      <c r="E147" s="15"/>
      <c r="F147" s="15"/>
      <c r="G147" s="15">
        <f t="shared" si="18"/>
        <v>7.7835</v>
      </c>
      <c r="H147" s="15" t="s">
        <v>100</v>
      </c>
      <c r="I147" s="15">
        <v>10378</v>
      </c>
      <c r="J147" s="15">
        <v>7.5</v>
      </c>
      <c r="K147" s="26"/>
    </row>
    <row r="148" spans="1:11" ht="25.5" customHeight="1">
      <c r="A148" s="6">
        <v>4.2</v>
      </c>
      <c r="B148" s="35" t="s">
        <v>116</v>
      </c>
      <c r="C148" s="15">
        <f>I148*J148/10000</f>
        <v>311.352</v>
      </c>
      <c r="D148" s="15"/>
      <c r="E148" s="15"/>
      <c r="F148" s="15"/>
      <c r="G148" s="15">
        <f t="shared" si="18"/>
        <v>311.352</v>
      </c>
      <c r="H148" s="15" t="s">
        <v>100</v>
      </c>
      <c r="I148" s="15">
        <v>103784</v>
      </c>
      <c r="J148" s="15">
        <v>30</v>
      </c>
      <c r="K148" s="26"/>
    </row>
    <row r="149" spans="1:11" ht="25.5" customHeight="1">
      <c r="A149" s="6">
        <v>4.3</v>
      </c>
      <c r="B149" s="35" t="s">
        <v>194</v>
      </c>
      <c r="C149" s="15">
        <f>I149*J149/10000</f>
        <v>135.618</v>
      </c>
      <c r="D149" s="15"/>
      <c r="E149" s="15"/>
      <c r="F149" s="15"/>
      <c r="G149" s="15">
        <f t="shared" si="18"/>
        <v>135.618</v>
      </c>
      <c r="H149" s="15" t="s">
        <v>100</v>
      </c>
      <c r="I149" s="15">
        <v>38748</v>
      </c>
      <c r="J149" s="15">
        <v>35</v>
      </c>
      <c r="K149" s="26"/>
    </row>
    <row r="150" spans="1:11" ht="25.5" customHeight="1">
      <c r="A150" s="8">
        <v>5</v>
      </c>
      <c r="B150" s="9" t="s">
        <v>121</v>
      </c>
      <c r="C150" s="10">
        <f>I150*J150/10000</f>
        <v>193.74</v>
      </c>
      <c r="D150" s="10"/>
      <c r="E150" s="10"/>
      <c r="F150" s="10"/>
      <c r="G150" s="10">
        <f t="shared" si="18"/>
        <v>193.74</v>
      </c>
      <c r="H150" s="10" t="s">
        <v>36</v>
      </c>
      <c r="I150" s="10">
        <v>96870</v>
      </c>
      <c r="J150" s="10">
        <v>20</v>
      </c>
      <c r="K150" s="26"/>
    </row>
    <row r="151" spans="1:11" ht="25.5" customHeight="1">
      <c r="A151" s="8">
        <v>6</v>
      </c>
      <c r="B151" s="9" t="s">
        <v>175</v>
      </c>
      <c r="C151" s="10" t="e">
        <f>C152+C153+#REF!+#REF!+#REF!+#REF!</f>
        <v>#REF!</v>
      </c>
      <c r="D151" s="10"/>
      <c r="E151" s="10"/>
      <c r="F151" s="10"/>
      <c r="G151" s="10" t="e">
        <f t="shared" si="18"/>
        <v>#REF!</v>
      </c>
      <c r="H151" s="10"/>
      <c r="I151" s="10"/>
      <c r="J151" s="10"/>
      <c r="K151" s="46"/>
    </row>
    <row r="152" spans="1:11" ht="25.5" customHeight="1">
      <c r="A152" s="17">
        <v>6.1</v>
      </c>
      <c r="B152" s="34" t="s">
        <v>230</v>
      </c>
      <c r="C152" s="15">
        <f>I152*J152/10000</f>
        <v>31.2655</v>
      </c>
      <c r="D152" s="15"/>
      <c r="E152" s="15"/>
      <c r="F152" s="15"/>
      <c r="G152" s="15">
        <f t="shared" si="18"/>
        <v>31.2655</v>
      </c>
      <c r="H152" s="15" t="s">
        <v>36</v>
      </c>
      <c r="I152" s="15">
        <v>8933</v>
      </c>
      <c r="J152" s="15">
        <v>35</v>
      </c>
      <c r="K152" s="46"/>
    </row>
    <row r="153" spans="1:17" ht="25.5" customHeight="1">
      <c r="A153" s="17">
        <v>6.2</v>
      </c>
      <c r="B153" s="35" t="s">
        <v>177</v>
      </c>
      <c r="C153" s="15">
        <f>I153*J153/10000</f>
        <v>117.743</v>
      </c>
      <c r="D153" s="15"/>
      <c r="E153" s="15"/>
      <c r="F153" s="15"/>
      <c r="G153" s="15">
        <f t="shared" si="18"/>
        <v>117.743</v>
      </c>
      <c r="H153" s="15" t="s">
        <v>36</v>
      </c>
      <c r="I153" s="15">
        <v>12394</v>
      </c>
      <c r="J153" s="15">
        <v>95</v>
      </c>
      <c r="K153" s="46"/>
      <c r="N153" s="64" t="s">
        <v>179</v>
      </c>
      <c r="O153" s="64"/>
      <c r="P153" s="64"/>
      <c r="Q153" s="64"/>
    </row>
    <row r="154" spans="1:11" ht="25.5" customHeight="1">
      <c r="A154" s="21"/>
      <c r="B154" s="35"/>
      <c r="C154" s="15"/>
      <c r="D154" s="15"/>
      <c r="E154" s="15"/>
      <c r="F154" s="15"/>
      <c r="G154" s="15"/>
      <c r="H154" s="15"/>
      <c r="I154" s="15"/>
      <c r="J154" s="15"/>
      <c r="K154" s="46"/>
    </row>
    <row r="155" spans="1:11" ht="25.5" customHeight="1">
      <c r="A155" s="21"/>
      <c r="B155" s="35"/>
      <c r="C155" s="15"/>
      <c r="D155" s="15"/>
      <c r="E155" s="15"/>
      <c r="F155" s="15"/>
      <c r="G155" s="15"/>
      <c r="H155" s="15"/>
      <c r="I155" s="15"/>
      <c r="J155" s="15"/>
      <c r="K155" s="46"/>
    </row>
    <row r="156" spans="1:11" ht="25.5" customHeight="1">
      <c r="A156" s="21"/>
      <c r="B156" s="35"/>
      <c r="C156" s="15"/>
      <c r="D156" s="15"/>
      <c r="E156" s="15"/>
      <c r="F156" s="15"/>
      <c r="G156" s="15"/>
      <c r="H156" s="15"/>
      <c r="I156" s="15"/>
      <c r="J156" s="15"/>
      <c r="K156" s="46"/>
    </row>
    <row r="157" spans="1:11" ht="25.5" customHeight="1">
      <c r="A157" s="21"/>
      <c r="B157" s="35"/>
      <c r="C157" s="15"/>
      <c r="D157" s="15"/>
      <c r="E157" s="15"/>
      <c r="F157" s="15"/>
      <c r="G157" s="15"/>
      <c r="H157" s="15"/>
      <c r="I157" s="15"/>
      <c r="J157" s="15"/>
      <c r="K157" s="46"/>
    </row>
    <row r="158" spans="1:11" ht="25.5" customHeight="1">
      <c r="A158" s="21"/>
      <c r="B158" s="35"/>
      <c r="C158" s="15"/>
      <c r="D158" s="15"/>
      <c r="E158" s="15"/>
      <c r="F158" s="15"/>
      <c r="G158" s="15"/>
      <c r="H158" s="15"/>
      <c r="I158" s="15"/>
      <c r="J158" s="15"/>
      <c r="K158" s="46"/>
    </row>
    <row r="159" spans="1:11" ht="25.5" customHeight="1">
      <c r="A159" s="21"/>
      <c r="B159" s="35"/>
      <c r="C159" s="15"/>
      <c r="D159" s="15"/>
      <c r="E159" s="15"/>
      <c r="F159" s="15"/>
      <c r="G159" s="15"/>
      <c r="H159" s="15"/>
      <c r="I159" s="15"/>
      <c r="J159" s="15"/>
      <c r="K159" s="46"/>
    </row>
    <row r="160" spans="1:11" ht="25.5" customHeight="1">
      <c r="A160" s="21"/>
      <c r="B160" s="35"/>
      <c r="C160" s="15"/>
      <c r="D160" s="15"/>
      <c r="E160" s="15"/>
      <c r="F160" s="15"/>
      <c r="G160" s="15"/>
      <c r="H160" s="15"/>
      <c r="I160" s="15"/>
      <c r="J160" s="15"/>
      <c r="K160" s="46"/>
    </row>
    <row r="161" spans="1:11" ht="25.5" customHeight="1">
      <c r="A161" s="21"/>
      <c r="B161" s="35"/>
      <c r="C161" s="15"/>
      <c r="D161" s="15"/>
      <c r="E161" s="15"/>
      <c r="F161" s="15"/>
      <c r="G161" s="15"/>
      <c r="H161" s="15"/>
      <c r="I161" s="15"/>
      <c r="J161" s="15"/>
      <c r="K161" s="46"/>
    </row>
    <row r="162" spans="1:11" ht="25.5" customHeight="1">
      <c r="A162" s="21"/>
      <c r="B162" s="35"/>
      <c r="C162" s="15"/>
      <c r="D162" s="15"/>
      <c r="E162" s="15"/>
      <c r="F162" s="15"/>
      <c r="G162" s="15"/>
      <c r="H162" s="15"/>
      <c r="I162" s="15"/>
      <c r="J162" s="15"/>
      <c r="K162" s="46"/>
    </row>
    <row r="163" spans="1:11" ht="25.5" customHeight="1">
      <c r="A163" s="21"/>
      <c r="B163" s="35"/>
      <c r="C163" s="15"/>
      <c r="D163" s="15"/>
      <c r="E163" s="15"/>
      <c r="F163" s="15"/>
      <c r="G163" s="15"/>
      <c r="H163" s="15"/>
      <c r="I163" s="15"/>
      <c r="J163" s="15"/>
      <c r="K163" s="46"/>
    </row>
    <row r="164" spans="1:11" ht="25.5" customHeight="1">
      <c r="A164" s="21"/>
      <c r="B164" s="35"/>
      <c r="C164" s="15"/>
      <c r="D164" s="15"/>
      <c r="E164" s="15"/>
      <c r="F164" s="15"/>
      <c r="G164" s="15"/>
      <c r="H164" s="15"/>
      <c r="I164" s="15"/>
      <c r="J164" s="15"/>
      <c r="K164" s="46"/>
    </row>
    <row r="165" spans="1:11" ht="25.5" customHeight="1">
      <c r="A165" s="21"/>
      <c r="B165" s="35"/>
      <c r="C165" s="15"/>
      <c r="D165" s="15"/>
      <c r="E165" s="15"/>
      <c r="F165" s="15"/>
      <c r="G165" s="15"/>
      <c r="H165" s="15"/>
      <c r="I165" s="15"/>
      <c r="J165" s="15"/>
      <c r="K165" s="46"/>
    </row>
    <row r="166" spans="1:11" ht="25.5" customHeight="1">
      <c r="A166" s="21"/>
      <c r="B166" s="35"/>
      <c r="C166" s="15"/>
      <c r="D166" s="15"/>
      <c r="E166" s="15"/>
      <c r="F166" s="15"/>
      <c r="G166" s="15"/>
      <c r="H166" s="15"/>
      <c r="I166" s="15"/>
      <c r="J166" s="15"/>
      <c r="K166" s="46"/>
    </row>
    <row r="167" spans="1:11" ht="25.5" customHeight="1">
      <c r="A167" s="21"/>
      <c r="B167" s="35"/>
      <c r="C167" s="15"/>
      <c r="D167" s="15"/>
      <c r="E167" s="15"/>
      <c r="F167" s="15"/>
      <c r="G167" s="15"/>
      <c r="H167" s="15"/>
      <c r="I167" s="15"/>
      <c r="J167" s="15"/>
      <c r="K167" s="46"/>
    </row>
    <row r="168" spans="1:11" ht="25.5" customHeight="1">
      <c r="A168" s="21"/>
      <c r="B168" s="35"/>
      <c r="C168" s="15"/>
      <c r="D168" s="15"/>
      <c r="E168" s="15"/>
      <c r="F168" s="15"/>
      <c r="G168" s="15"/>
      <c r="H168" s="15"/>
      <c r="I168" s="15"/>
      <c r="J168" s="15"/>
      <c r="K168" s="46"/>
    </row>
    <row r="169" spans="1:11" ht="25.5" customHeight="1">
      <c r="A169" s="21"/>
      <c r="B169" s="35"/>
      <c r="C169" s="15"/>
      <c r="D169" s="15"/>
      <c r="E169" s="15"/>
      <c r="F169" s="15"/>
      <c r="G169" s="15"/>
      <c r="H169" s="15"/>
      <c r="I169" s="15"/>
      <c r="J169" s="15"/>
      <c r="K169" s="46"/>
    </row>
    <row r="170" spans="1:11" ht="25.5" customHeight="1">
      <c r="A170" s="21"/>
      <c r="B170" s="35"/>
      <c r="C170" s="15"/>
      <c r="D170" s="15"/>
      <c r="E170" s="15"/>
      <c r="F170" s="15"/>
      <c r="G170" s="15"/>
      <c r="H170" s="15"/>
      <c r="I170" s="15"/>
      <c r="J170" s="15"/>
      <c r="K170" s="46"/>
    </row>
    <row r="171" spans="1:11" ht="25.5" customHeight="1">
      <c r="A171" s="21"/>
      <c r="B171" s="35"/>
      <c r="C171" s="15"/>
      <c r="D171" s="15"/>
      <c r="E171" s="15"/>
      <c r="F171" s="15"/>
      <c r="G171" s="15"/>
      <c r="H171" s="15"/>
      <c r="I171" s="15"/>
      <c r="J171" s="15"/>
      <c r="K171" s="46"/>
    </row>
    <row r="172" spans="1:11" ht="25.5" customHeight="1">
      <c r="A172" s="21"/>
      <c r="B172" s="35"/>
      <c r="C172" s="15"/>
      <c r="D172" s="15"/>
      <c r="E172" s="15"/>
      <c r="F172" s="15"/>
      <c r="G172" s="15"/>
      <c r="H172" s="15"/>
      <c r="I172" s="15"/>
      <c r="J172" s="15"/>
      <c r="K172" s="46"/>
    </row>
    <row r="173" spans="1:11" ht="25.5" customHeight="1">
      <c r="A173" s="21"/>
      <c r="B173" s="35"/>
      <c r="C173" s="15"/>
      <c r="D173" s="15"/>
      <c r="E173" s="15"/>
      <c r="F173" s="15"/>
      <c r="G173" s="15"/>
      <c r="H173" s="15"/>
      <c r="I173" s="15"/>
      <c r="J173" s="15"/>
      <c r="K173" s="46"/>
    </row>
    <row r="174" spans="1:11" ht="25.5" customHeight="1">
      <c r="A174" s="21"/>
      <c r="B174" s="35"/>
      <c r="C174" s="15"/>
      <c r="D174" s="15"/>
      <c r="E174" s="15"/>
      <c r="F174" s="15"/>
      <c r="G174" s="15"/>
      <c r="H174" s="15"/>
      <c r="I174" s="15"/>
      <c r="J174" s="15"/>
      <c r="K174" s="46"/>
    </row>
    <row r="175" spans="1:11" ht="25.5" customHeight="1">
      <c r="A175" s="21"/>
      <c r="B175" s="35"/>
      <c r="C175" s="15"/>
      <c r="D175" s="15"/>
      <c r="E175" s="15"/>
      <c r="F175" s="15"/>
      <c r="G175" s="15"/>
      <c r="H175" s="15"/>
      <c r="I175" s="15"/>
      <c r="J175" s="15"/>
      <c r="K175" s="46"/>
    </row>
    <row r="176" spans="1:11" ht="25.5" customHeight="1">
      <c r="A176" s="21"/>
      <c r="B176" s="35"/>
      <c r="C176" s="15"/>
      <c r="D176" s="15"/>
      <c r="E176" s="15"/>
      <c r="F176" s="15"/>
      <c r="G176" s="15"/>
      <c r="H176" s="15"/>
      <c r="I176" s="15"/>
      <c r="J176" s="15"/>
      <c r="K176" s="46"/>
    </row>
    <row r="177" spans="1:11" ht="25.5" customHeight="1">
      <c r="A177" s="21"/>
      <c r="B177" s="35"/>
      <c r="C177" s="15"/>
      <c r="D177" s="15"/>
      <c r="E177" s="15"/>
      <c r="F177" s="15"/>
      <c r="G177" s="15"/>
      <c r="H177" s="15"/>
      <c r="I177" s="15"/>
      <c r="J177" s="15"/>
      <c r="K177" s="46"/>
    </row>
    <row r="178" spans="1:11" ht="25.5" customHeight="1">
      <c r="A178" s="21"/>
      <c r="B178" s="35"/>
      <c r="C178" s="15"/>
      <c r="D178" s="15"/>
      <c r="E178" s="15"/>
      <c r="F178" s="15"/>
      <c r="G178" s="15"/>
      <c r="H178" s="15"/>
      <c r="I178" s="15"/>
      <c r="J178" s="15"/>
      <c r="K178" s="46"/>
    </row>
    <row r="179" spans="1:11" ht="25.5" customHeight="1">
      <c r="A179" s="21"/>
      <c r="B179" s="35"/>
      <c r="C179" s="15"/>
      <c r="D179" s="15"/>
      <c r="E179" s="15"/>
      <c r="F179" s="15"/>
      <c r="G179" s="15"/>
      <c r="H179" s="15"/>
      <c r="I179" s="15"/>
      <c r="J179" s="15"/>
      <c r="K179" s="46"/>
    </row>
    <row r="180" spans="1:11" ht="25.5" customHeight="1">
      <c r="A180" s="21"/>
      <c r="B180" s="35"/>
      <c r="C180" s="15"/>
      <c r="D180" s="15"/>
      <c r="E180" s="15"/>
      <c r="F180" s="15"/>
      <c r="G180" s="15"/>
      <c r="H180" s="15"/>
      <c r="I180" s="15"/>
      <c r="J180" s="15"/>
      <c r="K180" s="46"/>
    </row>
    <row r="181" spans="1:11" ht="25.5" customHeight="1">
      <c r="A181" s="21"/>
      <c r="B181" s="35"/>
      <c r="C181" s="15"/>
      <c r="D181" s="15"/>
      <c r="E181" s="15"/>
      <c r="F181" s="15"/>
      <c r="G181" s="15"/>
      <c r="H181" s="15"/>
      <c r="I181" s="15"/>
      <c r="J181" s="15"/>
      <c r="K181" s="46"/>
    </row>
    <row r="182" spans="1:11" ht="25.5" customHeight="1">
      <c r="A182" s="21"/>
      <c r="B182" s="35"/>
      <c r="C182" s="15"/>
      <c r="D182" s="15"/>
      <c r="E182" s="15"/>
      <c r="F182" s="15"/>
      <c r="G182" s="15"/>
      <c r="H182" s="15"/>
      <c r="I182" s="15"/>
      <c r="J182" s="15"/>
      <c r="K182" s="46"/>
    </row>
    <row r="183" spans="1:11" ht="25.5" customHeight="1">
      <c r="A183" s="21"/>
      <c r="B183" s="35"/>
      <c r="C183" s="15"/>
      <c r="D183" s="15"/>
      <c r="E183" s="15"/>
      <c r="F183" s="15"/>
      <c r="G183" s="15"/>
      <c r="H183" s="15"/>
      <c r="I183" s="15"/>
      <c r="J183" s="15"/>
      <c r="K183" s="46"/>
    </row>
    <row r="184" spans="1:11" ht="25.5" customHeight="1">
      <c r="A184" s="21"/>
      <c r="B184" s="35"/>
      <c r="C184" s="15"/>
      <c r="D184" s="15"/>
      <c r="E184" s="15"/>
      <c r="F184" s="15"/>
      <c r="G184" s="15"/>
      <c r="H184" s="15"/>
      <c r="I184" s="15"/>
      <c r="J184" s="15"/>
      <c r="K184" s="46"/>
    </row>
    <row r="185" spans="1:11" ht="25.5" customHeight="1">
      <c r="A185" s="21"/>
      <c r="B185" s="35"/>
      <c r="C185" s="15"/>
      <c r="D185" s="15"/>
      <c r="E185" s="15"/>
      <c r="F185" s="15"/>
      <c r="G185" s="15"/>
      <c r="H185" s="15"/>
      <c r="I185" s="15"/>
      <c r="J185" s="15"/>
      <c r="K185" s="46"/>
    </row>
    <row r="186" spans="1:11" ht="25.5" customHeight="1">
      <c r="A186" s="21"/>
      <c r="B186" s="35"/>
      <c r="C186" s="15"/>
      <c r="D186" s="15"/>
      <c r="E186" s="15"/>
      <c r="F186" s="15"/>
      <c r="G186" s="15"/>
      <c r="H186" s="15"/>
      <c r="I186" s="15"/>
      <c r="J186" s="15"/>
      <c r="K186" s="46"/>
    </row>
    <row r="187" spans="1:11" ht="25.5" customHeight="1">
      <c r="A187" s="21"/>
      <c r="B187" s="35"/>
      <c r="C187" s="15"/>
      <c r="D187" s="15"/>
      <c r="E187" s="15"/>
      <c r="F187" s="15"/>
      <c r="G187" s="15"/>
      <c r="H187" s="15"/>
      <c r="I187" s="15"/>
      <c r="J187" s="15"/>
      <c r="K187" s="46"/>
    </row>
    <row r="188" spans="1:11" ht="25.5" customHeight="1">
      <c r="A188" s="21"/>
      <c r="B188" s="35"/>
      <c r="C188" s="15"/>
      <c r="D188" s="15"/>
      <c r="E188" s="15"/>
      <c r="F188" s="15"/>
      <c r="G188" s="15"/>
      <c r="H188" s="15"/>
      <c r="I188" s="15"/>
      <c r="J188" s="15"/>
      <c r="K188" s="46"/>
    </row>
    <row r="189" spans="1:11" ht="25.5" customHeight="1">
      <c r="A189" s="21"/>
      <c r="B189" s="35"/>
      <c r="C189" s="15"/>
      <c r="D189" s="15"/>
      <c r="E189" s="15"/>
      <c r="F189" s="15"/>
      <c r="G189" s="15"/>
      <c r="H189" s="15"/>
      <c r="I189" s="15"/>
      <c r="J189" s="15"/>
      <c r="K189" s="46"/>
    </row>
    <row r="190" spans="1:11" ht="25.5" customHeight="1">
      <c r="A190" s="21"/>
      <c r="B190" s="35"/>
      <c r="C190" s="15"/>
      <c r="D190" s="15"/>
      <c r="E190" s="15"/>
      <c r="F190" s="15"/>
      <c r="G190" s="15"/>
      <c r="H190" s="15"/>
      <c r="I190" s="15"/>
      <c r="J190" s="15"/>
      <c r="K190" s="46"/>
    </row>
    <row r="191" spans="1:11" ht="25.5" customHeight="1">
      <c r="A191" s="29"/>
      <c r="B191" s="36"/>
      <c r="C191" s="29"/>
      <c r="D191" s="29"/>
      <c r="E191" s="29"/>
      <c r="F191" s="29"/>
      <c r="G191" s="29"/>
      <c r="H191" s="29"/>
      <c r="I191" s="29"/>
      <c r="J191" s="29"/>
      <c r="K191" s="29"/>
    </row>
    <row r="192" spans="1:11" ht="25.5" customHeight="1">
      <c r="A192" s="6" t="s">
        <v>60</v>
      </c>
      <c r="B192" s="35" t="s">
        <v>10</v>
      </c>
      <c r="C192" s="37"/>
      <c r="D192" s="37"/>
      <c r="E192" s="37"/>
      <c r="F192" s="15">
        <f>SUM(F193:F201)</f>
        <v>631.1368691388842</v>
      </c>
      <c r="G192" s="15">
        <f aca="true" t="shared" si="19" ref="G192:G201">SUM(C192:F192)</f>
        <v>631.1368691388842</v>
      </c>
      <c r="H192" s="15"/>
      <c r="I192" s="48"/>
      <c r="J192" s="48"/>
      <c r="K192" s="26">
        <f>G192/G207*100</f>
        <v>9.459131832654363</v>
      </c>
    </row>
    <row r="193" spans="1:11" ht="25.5" customHeight="1">
      <c r="A193" s="24">
        <v>1</v>
      </c>
      <c r="B193" s="35" t="s">
        <v>61</v>
      </c>
      <c r="C193" s="6"/>
      <c r="D193" s="6"/>
      <c r="E193" s="6"/>
      <c r="F193" s="15">
        <f>(140+(G5-10000)*0.01)</f>
        <v>97.23386391</v>
      </c>
      <c r="G193" s="15">
        <f t="shared" si="19"/>
        <v>97.23386391</v>
      </c>
      <c r="H193" s="15"/>
      <c r="I193" s="49"/>
      <c r="J193" s="50"/>
      <c r="K193" s="29"/>
    </row>
    <row r="194" spans="1:11" ht="25.5" customHeight="1">
      <c r="A194" s="24">
        <v>2</v>
      </c>
      <c r="B194" s="35" t="s">
        <v>63</v>
      </c>
      <c r="C194" s="38"/>
      <c r="D194" s="38"/>
      <c r="E194" s="38"/>
      <c r="F194" s="15">
        <f>((393.4*(40000-20000)+(G5-20000)*(708.2-393.4))/(40000-20000))</f>
        <v>168.68610179433995</v>
      </c>
      <c r="G194" s="15">
        <f t="shared" si="19"/>
        <v>168.68610179433995</v>
      </c>
      <c r="H194" s="15"/>
      <c r="I194" s="49"/>
      <c r="J194" s="51"/>
      <c r="K194" s="29"/>
    </row>
    <row r="195" spans="1:11" ht="25.5" customHeight="1">
      <c r="A195" s="24">
        <v>3</v>
      </c>
      <c r="B195" s="34" t="s">
        <v>255</v>
      </c>
      <c r="C195" s="6"/>
      <c r="D195" s="6"/>
      <c r="E195" s="6"/>
      <c r="F195" s="15">
        <f>G5*0.005</f>
        <v>28.616931955000002</v>
      </c>
      <c r="G195" s="15">
        <f t="shared" si="19"/>
        <v>28.616931955000002</v>
      </c>
      <c r="H195" s="15"/>
      <c r="I195" s="42"/>
      <c r="J195" s="42"/>
      <c r="K195" s="29"/>
    </row>
    <row r="196" spans="1:11" ht="25.5" customHeight="1">
      <c r="A196" s="24">
        <v>4</v>
      </c>
      <c r="B196" s="35" t="s">
        <v>256</v>
      </c>
      <c r="C196" s="6"/>
      <c r="D196" s="6"/>
      <c r="E196" s="6"/>
      <c r="F196" s="15">
        <f>G5*0.005</f>
        <v>28.616931955000002</v>
      </c>
      <c r="G196" s="15">
        <f t="shared" si="19"/>
        <v>28.616931955000002</v>
      </c>
      <c r="H196" s="15"/>
      <c r="I196" s="42"/>
      <c r="J196" s="42"/>
      <c r="K196" s="29"/>
    </row>
    <row r="197" spans="1:11" ht="25.5" customHeight="1">
      <c r="A197" s="24">
        <v>5</v>
      </c>
      <c r="B197" s="35" t="s">
        <v>257</v>
      </c>
      <c r="C197" s="6"/>
      <c r="D197" s="6"/>
      <c r="E197" s="6"/>
      <c r="F197" s="15">
        <f>(566.8*(40000-20000)+(G5-20000)*(1054-566.8))/(40000-20000)</f>
        <v>219.02169248475997</v>
      </c>
      <c r="G197" s="15">
        <f t="shared" si="19"/>
        <v>219.02169248475997</v>
      </c>
      <c r="H197" s="15"/>
      <c r="I197" s="42"/>
      <c r="J197" s="42"/>
      <c r="K197" s="29"/>
    </row>
    <row r="198" spans="1:11" ht="25.5" customHeight="1">
      <c r="A198" s="24">
        <v>6</v>
      </c>
      <c r="B198" s="35" t="s">
        <v>68</v>
      </c>
      <c r="C198" s="6"/>
      <c r="D198" s="6"/>
      <c r="E198" s="6"/>
      <c r="F198" s="15">
        <f>(F197+F196)*0.065</f>
        <v>16.096510588584398</v>
      </c>
      <c r="G198" s="15">
        <f t="shared" si="19"/>
        <v>16.096510588584398</v>
      </c>
      <c r="H198" s="15"/>
      <c r="I198" s="42"/>
      <c r="J198" s="42"/>
      <c r="K198" s="52"/>
    </row>
    <row r="199" spans="1:11" ht="25.5" customHeight="1">
      <c r="A199" s="24">
        <v>7</v>
      </c>
      <c r="B199" s="35" t="s">
        <v>69</v>
      </c>
      <c r="C199" s="38"/>
      <c r="D199" s="38"/>
      <c r="E199" s="38"/>
      <c r="F199" s="15">
        <f>(G5-10000)*0.0005+2.75+2.8+1+14+10+1</f>
        <v>29.4116931955</v>
      </c>
      <c r="G199" s="15">
        <f t="shared" si="19"/>
        <v>29.4116931955</v>
      </c>
      <c r="H199" s="15"/>
      <c r="I199" s="42"/>
      <c r="J199" s="42"/>
      <c r="K199" s="52"/>
    </row>
    <row r="200" spans="1:11" ht="25.5" customHeight="1">
      <c r="A200" s="24">
        <v>8</v>
      </c>
      <c r="B200" s="39" t="s">
        <v>258</v>
      </c>
      <c r="C200" s="35"/>
      <c r="D200" s="35"/>
      <c r="E200" s="35"/>
      <c r="F200" s="15">
        <f>7.5/3000*G5</f>
        <v>14.308465977500001</v>
      </c>
      <c r="G200" s="15">
        <f t="shared" si="19"/>
        <v>14.308465977500001</v>
      </c>
      <c r="H200" s="15"/>
      <c r="I200" s="42"/>
      <c r="J200" s="42"/>
      <c r="K200" s="52"/>
    </row>
    <row r="201" spans="1:11" ht="25.5" customHeight="1">
      <c r="A201" s="24">
        <v>9</v>
      </c>
      <c r="B201" s="35" t="s">
        <v>259</v>
      </c>
      <c r="C201" s="35"/>
      <c r="D201" s="35"/>
      <c r="E201" s="35"/>
      <c r="F201" s="15">
        <f>(30*(50000-10000)+(G5-10000)*(38-30))/(50000-10000)</f>
        <v>29.144677278200003</v>
      </c>
      <c r="G201" s="15">
        <f t="shared" si="19"/>
        <v>29.144677278200003</v>
      </c>
      <c r="H201" s="15"/>
      <c r="I201" s="42"/>
      <c r="J201" s="42"/>
      <c r="K201" s="35"/>
    </row>
    <row r="202" spans="1:11" ht="25.5" customHeight="1">
      <c r="A202" s="24"/>
      <c r="B202" s="35"/>
      <c r="C202" s="40"/>
      <c r="D202" s="29"/>
      <c r="E202" s="41"/>
      <c r="F202" s="22"/>
      <c r="G202" s="15"/>
      <c r="H202" s="15"/>
      <c r="I202" s="42"/>
      <c r="J202" s="42"/>
      <c r="K202" s="35"/>
    </row>
    <row r="203" spans="1:11" ht="25.5" customHeight="1">
      <c r="A203" s="24"/>
      <c r="B203" s="35"/>
      <c r="C203" s="40"/>
      <c r="D203" s="29"/>
      <c r="E203" s="41"/>
      <c r="F203" s="22"/>
      <c r="G203" s="15"/>
      <c r="H203" s="15"/>
      <c r="I203" s="42"/>
      <c r="J203" s="42"/>
      <c r="K203" s="35"/>
    </row>
    <row r="204" spans="1:11" ht="25.5" customHeight="1">
      <c r="A204" s="35" t="s">
        <v>27</v>
      </c>
      <c r="B204" s="35" t="s">
        <v>260</v>
      </c>
      <c r="C204" s="40"/>
      <c r="D204" s="29"/>
      <c r="E204" s="41"/>
      <c r="F204" s="22">
        <f>(G5+G192)*0.05</f>
        <v>317.72616300694426</v>
      </c>
      <c r="G204" s="15">
        <f>F204</f>
        <v>317.72616300694426</v>
      </c>
      <c r="H204" s="15"/>
      <c r="I204" s="42"/>
      <c r="J204" s="42"/>
      <c r="K204" s="26">
        <f>G204/G207*100</f>
        <v>4.761904761904763</v>
      </c>
    </row>
    <row r="205" spans="1:11" ht="25.5" customHeight="1">
      <c r="A205" s="35"/>
      <c r="B205" s="35"/>
      <c r="C205" s="40"/>
      <c r="D205" s="29"/>
      <c r="E205" s="41"/>
      <c r="F205" s="42"/>
      <c r="G205" s="42"/>
      <c r="H205" s="42"/>
      <c r="I205" s="42"/>
      <c r="J205" s="42"/>
      <c r="K205" s="35"/>
    </row>
    <row r="206" spans="1:11" ht="25.5" customHeight="1">
      <c r="A206" s="6"/>
      <c r="B206" s="35"/>
      <c r="C206" s="6"/>
      <c r="D206" s="6"/>
      <c r="E206" s="6"/>
      <c r="F206" s="42"/>
      <c r="G206" s="15"/>
      <c r="H206" s="43"/>
      <c r="I206" s="49"/>
      <c r="J206" s="19"/>
      <c r="K206" s="52"/>
    </row>
    <row r="207" spans="1:11" ht="25.5" customHeight="1">
      <c r="A207" s="44"/>
      <c r="B207" s="45" t="s">
        <v>30</v>
      </c>
      <c r="C207" s="15">
        <f>C5+C192+C204</f>
        <v>5573.106391</v>
      </c>
      <c r="D207" s="15"/>
      <c r="E207" s="15"/>
      <c r="F207" s="15">
        <f>F5+F192+F204</f>
        <v>948.8630321458285</v>
      </c>
      <c r="G207" s="15">
        <f>G5+G192+G204</f>
        <v>6672.249423145829</v>
      </c>
      <c r="H207" s="15"/>
      <c r="I207" s="15"/>
      <c r="J207" s="15"/>
      <c r="K207" s="21">
        <f>K5+K192+K204</f>
        <v>100</v>
      </c>
    </row>
  </sheetData>
  <sheetProtection/>
  <mergeCells count="10">
    <mergeCell ref="A1:K1"/>
    <mergeCell ref="A2:K2"/>
    <mergeCell ref="C3:G3"/>
    <mergeCell ref="H3:J3"/>
    <mergeCell ref="N56:S56"/>
    <mergeCell ref="M82:R82"/>
    <mergeCell ref="N153:Q153"/>
    <mergeCell ref="A3:A4"/>
    <mergeCell ref="B3:B4"/>
    <mergeCell ref="K3:K4"/>
  </mergeCells>
  <printOptions/>
  <pageMargins left="0.31" right="0.2" top="0.49" bottom="0.59" header="0.33" footer="0.4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0"/>
  <sheetViews>
    <sheetView view="pageBreakPreview" zoomScaleSheetLayoutView="100" workbookViewId="0" topLeftCell="A43">
      <selection activeCell="A50" sqref="A50:J55"/>
    </sheetView>
  </sheetViews>
  <sheetFormatPr defaultColWidth="9.00390625" defaultRowHeight="14.25"/>
  <cols>
    <col min="1" max="1" width="6.00390625" style="0" customWidth="1"/>
    <col min="2" max="2" width="14.375" style="1" customWidth="1"/>
    <col min="3" max="3" width="8.625" style="0" customWidth="1"/>
    <col min="4" max="4" width="7.375" style="0" customWidth="1"/>
    <col min="5" max="5" width="7.125" style="0" customWidth="1"/>
    <col min="6" max="6" width="7.375" style="0" customWidth="1"/>
    <col min="7" max="7" width="8.375" style="0" customWidth="1"/>
    <col min="8" max="8" width="4.00390625" style="0" customWidth="1"/>
    <col min="9" max="9" width="9.25390625" style="0" customWidth="1"/>
    <col min="10" max="10" width="10.50390625" style="0" customWidth="1"/>
    <col min="11" max="11" width="5.50390625" style="0" customWidth="1"/>
    <col min="18" max="18" width="29.125" style="0" customWidth="1"/>
  </cols>
  <sheetData>
    <row r="1" spans="1:11" ht="24" customHeight="1">
      <c r="A1" s="2" t="s">
        <v>73</v>
      </c>
      <c r="B1" s="3"/>
      <c r="C1" s="2"/>
      <c r="D1" s="2"/>
      <c r="E1" s="2"/>
      <c r="F1" s="2"/>
      <c r="G1" s="2"/>
      <c r="H1" s="2"/>
      <c r="I1" s="2"/>
      <c r="J1" s="2"/>
      <c r="K1" s="2"/>
    </row>
    <row r="2" spans="1:11" ht="21" customHeight="1">
      <c r="A2" s="4" t="s">
        <v>111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" customHeight="1">
      <c r="A3" s="5" t="s">
        <v>2</v>
      </c>
      <c r="B3" s="6" t="s">
        <v>3</v>
      </c>
      <c r="C3" s="7" t="s">
        <v>75</v>
      </c>
      <c r="D3" s="7"/>
      <c r="E3" s="7"/>
      <c r="F3" s="7"/>
      <c r="G3" s="7"/>
      <c r="H3" s="7" t="s">
        <v>5</v>
      </c>
      <c r="I3" s="7"/>
      <c r="J3" s="7"/>
      <c r="K3" s="24" t="s">
        <v>6</v>
      </c>
    </row>
    <row r="4" spans="1:11" ht="24" customHeight="1">
      <c r="A4" s="7"/>
      <c r="B4" s="6"/>
      <c r="C4" s="6" t="s">
        <v>40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34</v>
      </c>
      <c r="K4" s="6"/>
    </row>
    <row r="5" spans="1:11" ht="25.5" customHeight="1">
      <c r="A5" s="8" t="s">
        <v>14</v>
      </c>
      <c r="B5" s="9" t="s">
        <v>15</v>
      </c>
      <c r="C5" s="10">
        <f>C6+C73+C81+C87+C82+C86</f>
        <v>20720.244431000003</v>
      </c>
      <c r="D5" s="10">
        <f>D6+D73+D81+D87</f>
        <v>437.38000000000005</v>
      </c>
      <c r="E5" s="10">
        <f>E6+E73+E81+E87</f>
        <v>27</v>
      </c>
      <c r="F5" s="10"/>
      <c r="G5" s="11">
        <f aca="true" t="shared" si="0" ref="G5:G61">SUM(C5:F5)</f>
        <v>21184.624431000004</v>
      </c>
      <c r="H5" s="12"/>
      <c r="I5" s="21"/>
      <c r="J5" s="25"/>
      <c r="K5" s="26">
        <f>G5/G110*100</f>
        <v>88.39758459341328</v>
      </c>
    </row>
    <row r="6" spans="1:11" ht="25.5" customHeight="1">
      <c r="A6" s="8" t="s">
        <v>112</v>
      </c>
      <c r="B6" s="9" t="s">
        <v>261</v>
      </c>
      <c r="C6" s="10">
        <f>C7+C22+C40+C56+C61</f>
        <v>15643.348899999999</v>
      </c>
      <c r="D6" s="10">
        <f>D7+D22+D40+D56+D61</f>
        <v>437.38000000000005</v>
      </c>
      <c r="E6" s="10">
        <f>E7+E22+E40+E56+E61</f>
        <v>27</v>
      </c>
      <c r="F6" s="10"/>
      <c r="G6" s="11">
        <f t="shared" si="0"/>
        <v>16107.728899999998</v>
      </c>
      <c r="H6" s="12"/>
      <c r="I6" s="21"/>
      <c r="J6" s="25"/>
      <c r="K6" s="26"/>
    </row>
    <row r="7" spans="1:18" ht="25.5" customHeight="1">
      <c r="A7" s="13">
        <v>1</v>
      </c>
      <c r="B7" s="14" t="s">
        <v>115</v>
      </c>
      <c r="C7" s="15">
        <f>SUM(C8+C9+C10+C14+C15+C16+C17+C18+C19+C20+C21)</f>
        <v>2131.3799999999997</v>
      </c>
      <c r="D7" s="15"/>
      <c r="E7" s="15"/>
      <c r="F7" s="15"/>
      <c r="G7" s="15">
        <f t="shared" si="0"/>
        <v>2131.3799999999997</v>
      </c>
      <c r="H7" s="15"/>
      <c r="I7" s="15"/>
      <c r="J7" s="15"/>
      <c r="K7" s="26"/>
      <c r="M7" s="27" t="s">
        <v>115</v>
      </c>
      <c r="N7" s="27"/>
      <c r="O7" s="27"/>
      <c r="P7" s="27"/>
      <c r="Q7" s="27"/>
      <c r="R7" s="27"/>
    </row>
    <row r="8" spans="1:18" ht="25.5" customHeight="1">
      <c r="A8" s="16">
        <v>1.1</v>
      </c>
      <c r="B8" s="14" t="s">
        <v>117</v>
      </c>
      <c r="C8" s="15">
        <f aca="true" t="shared" si="1" ref="C8:C21">I8*J8/10000</f>
        <v>84.204</v>
      </c>
      <c r="D8" s="15"/>
      <c r="E8" s="15"/>
      <c r="F8" s="15"/>
      <c r="G8" s="15">
        <f t="shared" si="0"/>
        <v>84.204</v>
      </c>
      <c r="H8" s="15" t="s">
        <v>36</v>
      </c>
      <c r="I8" s="15">
        <v>2339</v>
      </c>
      <c r="J8" s="15">
        <v>360</v>
      </c>
      <c r="K8" s="26"/>
      <c r="M8" s="28"/>
      <c r="N8" s="28" t="s">
        <v>114</v>
      </c>
      <c r="O8" s="28" t="s">
        <v>182</v>
      </c>
      <c r="P8" s="28" t="s">
        <v>12</v>
      </c>
      <c r="Q8" s="28" t="s">
        <v>13</v>
      </c>
      <c r="R8" s="28" t="s">
        <v>183</v>
      </c>
    </row>
    <row r="9" spans="1:18" ht="25.5" customHeight="1">
      <c r="A9" s="17">
        <v>1.2</v>
      </c>
      <c r="B9" s="14" t="s">
        <v>120</v>
      </c>
      <c r="C9" s="15">
        <f t="shared" si="1"/>
        <v>20.12</v>
      </c>
      <c r="D9" s="15"/>
      <c r="E9" s="15"/>
      <c r="F9" s="15"/>
      <c r="G9" s="15">
        <f t="shared" si="0"/>
        <v>20.12</v>
      </c>
      <c r="H9" s="15" t="s">
        <v>36</v>
      </c>
      <c r="I9" s="15">
        <v>503</v>
      </c>
      <c r="J9" s="15">
        <v>400</v>
      </c>
      <c r="K9" s="26"/>
      <c r="M9" s="28">
        <v>1</v>
      </c>
      <c r="N9" s="28" t="s">
        <v>185</v>
      </c>
      <c r="O9" s="28" t="s">
        <v>262</v>
      </c>
      <c r="P9" s="28" t="s">
        <v>36</v>
      </c>
      <c r="Q9" s="28">
        <v>2339</v>
      </c>
      <c r="R9" s="28"/>
    </row>
    <row r="10" spans="1:18" ht="25.5" customHeight="1">
      <c r="A10" s="17">
        <v>1.3</v>
      </c>
      <c r="B10" s="14" t="s">
        <v>263</v>
      </c>
      <c r="C10" s="15">
        <f>C11+C12+C13</f>
        <v>505.32</v>
      </c>
      <c r="D10" s="15"/>
      <c r="E10" s="15"/>
      <c r="F10" s="15"/>
      <c r="G10" s="15">
        <f t="shared" si="0"/>
        <v>505.32</v>
      </c>
      <c r="H10" s="15"/>
      <c r="I10" s="15"/>
      <c r="J10" s="15"/>
      <c r="K10" s="26"/>
      <c r="M10" s="28">
        <v>2</v>
      </c>
      <c r="N10" s="28"/>
      <c r="O10" s="28" t="s">
        <v>264</v>
      </c>
      <c r="P10" s="28"/>
      <c r="Q10" s="28"/>
      <c r="R10" s="28"/>
    </row>
    <row r="11" spans="1:18" ht="25.5" customHeight="1">
      <c r="A11" s="17" t="s">
        <v>265</v>
      </c>
      <c r="B11" s="15" t="s">
        <v>207</v>
      </c>
      <c r="C11" s="15">
        <f t="shared" si="1"/>
        <v>142.24</v>
      </c>
      <c r="D11" s="15"/>
      <c r="E11" s="15"/>
      <c r="F11" s="15"/>
      <c r="G11" s="15">
        <f t="shared" si="0"/>
        <v>142.24</v>
      </c>
      <c r="H11" s="15" t="s">
        <v>36</v>
      </c>
      <c r="I11" s="15">
        <v>889</v>
      </c>
      <c r="J11" s="15">
        <v>1600</v>
      </c>
      <c r="K11" s="26"/>
      <c r="M11" s="28">
        <v>3</v>
      </c>
      <c r="N11" s="28" t="s">
        <v>177</v>
      </c>
      <c r="O11" s="28" t="s">
        <v>85</v>
      </c>
      <c r="P11" s="28" t="s">
        <v>36</v>
      </c>
      <c r="Q11" s="28">
        <v>503</v>
      </c>
      <c r="R11" s="28"/>
    </row>
    <row r="12" spans="1:18" ht="25.5" customHeight="1">
      <c r="A12" s="16" t="s">
        <v>266</v>
      </c>
      <c r="B12" s="14" t="s">
        <v>120</v>
      </c>
      <c r="C12" s="15">
        <f t="shared" si="1"/>
        <v>63.08</v>
      </c>
      <c r="D12" s="15"/>
      <c r="E12" s="15"/>
      <c r="F12" s="15"/>
      <c r="G12" s="15">
        <f t="shared" si="0"/>
        <v>63.08</v>
      </c>
      <c r="H12" s="15" t="s">
        <v>36</v>
      </c>
      <c r="I12" s="15">
        <v>1577</v>
      </c>
      <c r="J12" s="15">
        <f>J9</f>
        <v>400</v>
      </c>
      <c r="K12" s="26"/>
      <c r="M12" s="28">
        <v>4</v>
      </c>
      <c r="N12" s="28"/>
      <c r="O12" s="28" t="s">
        <v>263</v>
      </c>
      <c r="P12" s="28"/>
      <c r="Q12" s="28"/>
      <c r="R12" s="28"/>
    </row>
    <row r="13" spans="1:18" ht="25.5" customHeight="1">
      <c r="A13" s="16" t="s">
        <v>267</v>
      </c>
      <c r="B13" s="14" t="s">
        <v>268</v>
      </c>
      <c r="C13" s="15">
        <f t="shared" si="1"/>
        <v>300</v>
      </c>
      <c r="D13" s="15"/>
      <c r="E13" s="15"/>
      <c r="F13" s="15"/>
      <c r="G13" s="15">
        <f t="shared" si="0"/>
        <v>300</v>
      </c>
      <c r="H13" s="15" t="s">
        <v>94</v>
      </c>
      <c r="I13" s="15">
        <v>6</v>
      </c>
      <c r="J13" s="15">
        <v>500000</v>
      </c>
      <c r="K13" s="29"/>
      <c r="M13" s="28">
        <v>5</v>
      </c>
      <c r="N13" s="28" t="s">
        <v>219</v>
      </c>
      <c r="O13" s="28" t="s">
        <v>220</v>
      </c>
      <c r="P13" s="28" t="s">
        <v>36</v>
      </c>
      <c r="Q13" s="28">
        <v>889</v>
      </c>
      <c r="R13" s="28"/>
    </row>
    <row r="14" spans="1:18" ht="25.5" customHeight="1">
      <c r="A14" s="6">
        <v>1.4</v>
      </c>
      <c r="B14" s="14" t="s">
        <v>129</v>
      </c>
      <c r="C14" s="15">
        <f t="shared" si="1"/>
        <v>340.8</v>
      </c>
      <c r="D14" s="15"/>
      <c r="E14" s="15"/>
      <c r="F14" s="15"/>
      <c r="G14" s="15">
        <f t="shared" si="0"/>
        <v>340.8</v>
      </c>
      <c r="H14" s="15" t="s">
        <v>36</v>
      </c>
      <c r="I14" s="15">
        <v>1136</v>
      </c>
      <c r="J14" s="15">
        <v>3000</v>
      </c>
      <c r="K14" s="29"/>
      <c r="M14" s="28">
        <v>6</v>
      </c>
      <c r="N14" s="28" t="s">
        <v>177</v>
      </c>
      <c r="O14" s="28" t="s">
        <v>85</v>
      </c>
      <c r="P14" s="28" t="s">
        <v>36</v>
      </c>
      <c r="Q14" s="28">
        <v>1577</v>
      </c>
      <c r="R14" s="28"/>
    </row>
    <row r="15" spans="1:18" ht="25.5" customHeight="1">
      <c r="A15" s="6">
        <v>1.5</v>
      </c>
      <c r="B15" s="14" t="s">
        <v>269</v>
      </c>
      <c r="C15" s="15">
        <f t="shared" si="1"/>
        <v>1020.6</v>
      </c>
      <c r="D15" s="15"/>
      <c r="E15" s="15"/>
      <c r="F15" s="15"/>
      <c r="G15" s="15">
        <f t="shared" si="0"/>
        <v>1020.6</v>
      </c>
      <c r="H15" s="15" t="s">
        <v>36</v>
      </c>
      <c r="I15" s="15">
        <v>1134</v>
      </c>
      <c r="J15" s="15">
        <v>9000</v>
      </c>
      <c r="K15" s="29"/>
      <c r="M15" s="28">
        <v>7</v>
      </c>
      <c r="N15" s="28" t="s">
        <v>268</v>
      </c>
      <c r="O15" s="28"/>
      <c r="P15" s="28" t="s">
        <v>94</v>
      </c>
      <c r="Q15" s="28">
        <v>6</v>
      </c>
      <c r="R15" s="28"/>
    </row>
    <row r="16" spans="1:18" ht="25.5" customHeight="1">
      <c r="A16" s="6">
        <v>1.6</v>
      </c>
      <c r="B16" s="14" t="s">
        <v>132</v>
      </c>
      <c r="C16" s="15">
        <f t="shared" si="1"/>
        <v>31.84</v>
      </c>
      <c r="D16" s="15"/>
      <c r="E16" s="15"/>
      <c r="F16" s="15"/>
      <c r="G16" s="15">
        <f t="shared" si="0"/>
        <v>31.84</v>
      </c>
      <c r="H16" s="15" t="s">
        <v>36</v>
      </c>
      <c r="I16" s="15">
        <v>199</v>
      </c>
      <c r="J16" s="15">
        <f>J11</f>
        <v>1600</v>
      </c>
      <c r="K16" s="29"/>
      <c r="M16" s="28">
        <v>8</v>
      </c>
      <c r="N16" s="28"/>
      <c r="O16" s="28"/>
      <c r="P16" s="28"/>
      <c r="Q16" s="28"/>
      <c r="R16" s="28"/>
    </row>
    <row r="17" spans="1:18" ht="25.5" customHeight="1">
      <c r="A17" s="6">
        <v>1.7</v>
      </c>
      <c r="B17" s="14" t="s">
        <v>133</v>
      </c>
      <c r="C17" s="15">
        <f t="shared" si="1"/>
        <v>77</v>
      </c>
      <c r="D17" s="15"/>
      <c r="E17" s="15"/>
      <c r="F17" s="15"/>
      <c r="G17" s="15">
        <f t="shared" si="0"/>
        <v>77</v>
      </c>
      <c r="H17" s="15" t="s">
        <v>23</v>
      </c>
      <c r="I17" s="15">
        <v>77</v>
      </c>
      <c r="J17" s="15">
        <v>10000</v>
      </c>
      <c r="K17" s="29"/>
      <c r="M17" s="28">
        <v>9</v>
      </c>
      <c r="N17" s="28" t="s">
        <v>270</v>
      </c>
      <c r="O17" s="28" t="s">
        <v>220</v>
      </c>
      <c r="P17" s="28" t="s">
        <v>36</v>
      </c>
      <c r="Q17" s="28">
        <v>1136</v>
      </c>
      <c r="R17" s="28"/>
    </row>
    <row r="18" spans="1:18" ht="25.5" customHeight="1">
      <c r="A18" s="6">
        <v>1.8</v>
      </c>
      <c r="B18" s="14" t="s">
        <v>134</v>
      </c>
      <c r="C18" s="15">
        <f t="shared" si="1"/>
        <v>32.82</v>
      </c>
      <c r="D18" s="15"/>
      <c r="E18" s="15"/>
      <c r="F18" s="15"/>
      <c r="G18" s="15">
        <f t="shared" si="0"/>
        <v>32.82</v>
      </c>
      <c r="H18" s="15" t="s">
        <v>36</v>
      </c>
      <c r="I18" s="15">
        <v>547</v>
      </c>
      <c r="J18" s="15">
        <v>600</v>
      </c>
      <c r="K18" s="29"/>
      <c r="M18" s="28">
        <v>10</v>
      </c>
      <c r="N18" s="28" t="s">
        <v>269</v>
      </c>
      <c r="O18" s="28"/>
      <c r="P18" s="28" t="s">
        <v>36</v>
      </c>
      <c r="Q18" s="28">
        <v>1134</v>
      </c>
      <c r="R18" s="28"/>
    </row>
    <row r="19" spans="1:18" ht="25.5" customHeight="1">
      <c r="A19" s="18">
        <v>1.9</v>
      </c>
      <c r="B19" s="14" t="s">
        <v>135</v>
      </c>
      <c r="C19" s="15">
        <f t="shared" si="1"/>
        <v>1.2</v>
      </c>
      <c r="D19" s="15"/>
      <c r="E19" s="15"/>
      <c r="F19" s="15"/>
      <c r="G19" s="15">
        <f t="shared" si="0"/>
        <v>1.2</v>
      </c>
      <c r="H19" s="15" t="s">
        <v>136</v>
      </c>
      <c r="I19" s="15">
        <v>1</v>
      </c>
      <c r="J19" s="15">
        <v>12000</v>
      </c>
      <c r="K19" s="29"/>
      <c r="M19" s="28">
        <v>11</v>
      </c>
      <c r="N19" s="28" t="s">
        <v>132</v>
      </c>
      <c r="O19" s="28"/>
      <c r="P19" s="28" t="s">
        <v>36</v>
      </c>
      <c r="Q19" s="28">
        <v>199</v>
      </c>
      <c r="R19" s="28"/>
    </row>
    <row r="20" spans="1:18" ht="25.5" customHeight="1">
      <c r="A20" s="19">
        <v>1.1</v>
      </c>
      <c r="B20" s="14" t="s">
        <v>137</v>
      </c>
      <c r="C20" s="15">
        <f t="shared" si="1"/>
        <v>1.2</v>
      </c>
      <c r="D20" s="15"/>
      <c r="E20" s="15"/>
      <c r="F20" s="15"/>
      <c r="G20" s="15">
        <f t="shared" si="0"/>
        <v>1.2</v>
      </c>
      <c r="H20" s="20" t="s">
        <v>138</v>
      </c>
      <c r="I20" s="15">
        <v>1</v>
      </c>
      <c r="J20" s="15">
        <v>12000</v>
      </c>
      <c r="K20" s="29"/>
      <c r="M20" s="28">
        <v>12</v>
      </c>
      <c r="N20" s="28" t="s">
        <v>133</v>
      </c>
      <c r="O20" s="28"/>
      <c r="P20" s="28" t="s">
        <v>23</v>
      </c>
      <c r="Q20" s="28">
        <v>77</v>
      </c>
      <c r="R20" s="28"/>
    </row>
    <row r="21" spans="1:18" ht="25.5" customHeight="1">
      <c r="A21" s="19">
        <v>1.11</v>
      </c>
      <c r="B21" s="14" t="s">
        <v>131</v>
      </c>
      <c r="C21" s="15">
        <f t="shared" si="1"/>
        <v>16.276</v>
      </c>
      <c r="D21" s="15"/>
      <c r="E21" s="15"/>
      <c r="F21" s="15"/>
      <c r="G21" s="15">
        <f t="shared" si="0"/>
        <v>16.276</v>
      </c>
      <c r="H21" s="15" t="s">
        <v>36</v>
      </c>
      <c r="I21" s="15">
        <v>626</v>
      </c>
      <c r="J21" s="15">
        <v>260</v>
      </c>
      <c r="K21" s="29"/>
      <c r="M21" s="28"/>
      <c r="N21" s="28"/>
      <c r="O21" s="28"/>
      <c r="P21" s="28"/>
      <c r="Q21" s="28"/>
      <c r="R21" s="28"/>
    </row>
    <row r="22" spans="1:18" ht="25.5" customHeight="1">
      <c r="A22" s="21">
        <v>2</v>
      </c>
      <c r="B22" s="22" t="s">
        <v>271</v>
      </c>
      <c r="C22" s="15">
        <f>SUM(C23:C39)</f>
        <v>12329.004</v>
      </c>
      <c r="D22" s="15"/>
      <c r="E22" s="15"/>
      <c r="F22" s="15"/>
      <c r="G22" s="15">
        <f t="shared" si="0"/>
        <v>12329.004</v>
      </c>
      <c r="H22" s="15" t="s">
        <v>36</v>
      </c>
      <c r="I22" s="15"/>
      <c r="J22" s="15"/>
      <c r="K22" s="29"/>
      <c r="M22" s="28">
        <v>13</v>
      </c>
      <c r="N22" s="28" t="s">
        <v>134</v>
      </c>
      <c r="O22" s="28"/>
      <c r="P22" s="28" t="s">
        <v>36</v>
      </c>
      <c r="Q22" s="28">
        <v>547</v>
      </c>
      <c r="R22" s="28"/>
    </row>
    <row r="23" spans="1:18" ht="25.5" customHeight="1">
      <c r="A23" s="17">
        <v>2.1</v>
      </c>
      <c r="B23" s="22" t="s">
        <v>238</v>
      </c>
      <c r="C23" s="15">
        <f aca="true" t="shared" si="2" ref="C23:C39">I23*J23/10000</f>
        <v>1302.82</v>
      </c>
      <c r="D23" s="15"/>
      <c r="E23" s="15"/>
      <c r="F23" s="15"/>
      <c r="G23" s="15">
        <f t="shared" si="0"/>
        <v>1302.82</v>
      </c>
      <c r="H23" s="15" t="s">
        <v>36</v>
      </c>
      <c r="I23" s="15">
        <v>65141</v>
      </c>
      <c r="J23" s="15">
        <v>200</v>
      </c>
      <c r="K23" s="29"/>
      <c r="M23" s="30" t="s">
        <v>271</v>
      </c>
      <c r="N23" s="30"/>
      <c r="O23" s="30"/>
      <c r="P23" s="30"/>
      <c r="Q23" s="30"/>
      <c r="R23" s="30"/>
    </row>
    <row r="24" spans="1:18" ht="25.5" customHeight="1">
      <c r="A24" s="17">
        <v>2.2</v>
      </c>
      <c r="B24" s="22" t="s">
        <v>239</v>
      </c>
      <c r="C24" s="15">
        <f t="shared" si="2"/>
        <v>762.944</v>
      </c>
      <c r="D24" s="15"/>
      <c r="E24" s="15"/>
      <c r="F24" s="15"/>
      <c r="G24" s="15">
        <f t="shared" si="0"/>
        <v>762.944</v>
      </c>
      <c r="H24" s="15" t="s">
        <v>36</v>
      </c>
      <c r="I24" s="15">
        <v>47684</v>
      </c>
      <c r="J24" s="15">
        <v>160</v>
      </c>
      <c r="K24" s="29"/>
      <c r="M24" s="28"/>
      <c r="N24" s="28" t="s">
        <v>114</v>
      </c>
      <c r="O24" s="28" t="s">
        <v>182</v>
      </c>
      <c r="P24" s="28" t="s">
        <v>12</v>
      </c>
      <c r="Q24" s="28" t="s">
        <v>13</v>
      </c>
      <c r="R24" s="28" t="s">
        <v>183</v>
      </c>
    </row>
    <row r="25" spans="1:18" ht="25.5" customHeight="1">
      <c r="A25" s="17">
        <v>2.3</v>
      </c>
      <c r="B25" s="22" t="s">
        <v>240</v>
      </c>
      <c r="C25" s="15">
        <f t="shared" si="2"/>
        <v>1228.17</v>
      </c>
      <c r="D25" s="15"/>
      <c r="E25" s="15"/>
      <c r="F25" s="15"/>
      <c r="G25" s="15">
        <f t="shared" si="0"/>
        <v>1228.17</v>
      </c>
      <c r="H25" s="15" t="s">
        <v>36</v>
      </c>
      <c r="I25" s="15">
        <v>40939</v>
      </c>
      <c r="J25" s="15">
        <v>300</v>
      </c>
      <c r="K25" s="29"/>
      <c r="M25" s="28">
        <v>1</v>
      </c>
      <c r="N25" s="28" t="s">
        <v>77</v>
      </c>
      <c r="O25" s="28" t="s">
        <v>190</v>
      </c>
      <c r="P25" s="28" t="s">
        <v>36</v>
      </c>
      <c r="Q25" s="28">
        <v>65141</v>
      </c>
      <c r="R25" s="28"/>
    </row>
    <row r="26" spans="1:18" ht="25.5" customHeight="1">
      <c r="A26" s="17">
        <v>2.4</v>
      </c>
      <c r="B26" s="14" t="s">
        <v>241</v>
      </c>
      <c r="C26" s="15">
        <f t="shared" si="2"/>
        <v>1524</v>
      </c>
      <c r="D26" s="15"/>
      <c r="E26" s="15"/>
      <c r="F26" s="15"/>
      <c r="G26" s="15">
        <f t="shared" si="0"/>
        <v>1524</v>
      </c>
      <c r="H26" s="15" t="s">
        <v>36</v>
      </c>
      <c r="I26" s="15">
        <v>25400</v>
      </c>
      <c r="J26" s="15">
        <v>600</v>
      </c>
      <c r="K26" s="15"/>
      <c r="M26" s="28">
        <v>2</v>
      </c>
      <c r="N26" s="28" t="s">
        <v>239</v>
      </c>
      <c r="O26" s="28" t="s">
        <v>272</v>
      </c>
      <c r="P26" s="28" t="s">
        <v>36</v>
      </c>
      <c r="Q26" s="28">
        <v>47684</v>
      </c>
      <c r="R26" s="28"/>
    </row>
    <row r="27" spans="1:18" ht="25.5" customHeight="1">
      <c r="A27" s="17">
        <v>2.5</v>
      </c>
      <c r="B27" s="14" t="s">
        <v>242</v>
      </c>
      <c r="C27" s="15">
        <f t="shared" si="2"/>
        <v>124.62</v>
      </c>
      <c r="D27" s="15"/>
      <c r="E27" s="15"/>
      <c r="F27" s="15"/>
      <c r="G27" s="15">
        <f t="shared" si="0"/>
        <v>124.62</v>
      </c>
      <c r="H27" s="15" t="s">
        <v>36</v>
      </c>
      <c r="I27" s="15">
        <v>2077</v>
      </c>
      <c r="J27" s="15">
        <f>J26</f>
        <v>600</v>
      </c>
      <c r="K27" s="15"/>
      <c r="M27" s="28">
        <v>3</v>
      </c>
      <c r="N27" s="28" t="s">
        <v>273</v>
      </c>
      <c r="O27" s="28" t="s">
        <v>274</v>
      </c>
      <c r="P27" s="28" t="s">
        <v>36</v>
      </c>
      <c r="Q27" s="28">
        <v>40939</v>
      </c>
      <c r="R27" s="28"/>
    </row>
    <row r="28" spans="1:18" ht="25.5" customHeight="1">
      <c r="A28" s="17">
        <v>2.6</v>
      </c>
      <c r="B28" s="14" t="s">
        <v>243</v>
      </c>
      <c r="C28" s="15">
        <f t="shared" si="2"/>
        <v>1975.68</v>
      </c>
      <c r="D28" s="15"/>
      <c r="E28" s="15"/>
      <c r="F28" s="15"/>
      <c r="G28" s="15">
        <f t="shared" si="0"/>
        <v>1975.68</v>
      </c>
      <c r="H28" s="15" t="s">
        <v>36</v>
      </c>
      <c r="I28" s="15">
        <v>32928</v>
      </c>
      <c r="J28" s="15">
        <f>J26</f>
        <v>600</v>
      </c>
      <c r="K28" s="15"/>
      <c r="M28" s="28">
        <v>4</v>
      </c>
      <c r="N28" s="28" t="s">
        <v>275</v>
      </c>
      <c r="O28" s="28" t="s">
        <v>85</v>
      </c>
      <c r="P28" s="28" t="s">
        <v>36</v>
      </c>
      <c r="Q28" s="28">
        <v>25400</v>
      </c>
      <c r="R28" s="28"/>
    </row>
    <row r="29" spans="1:18" ht="25.5" customHeight="1">
      <c r="A29" s="17">
        <v>2.7</v>
      </c>
      <c r="B29" s="14" t="s">
        <v>244</v>
      </c>
      <c r="C29" s="15">
        <f t="shared" si="2"/>
        <v>80.76</v>
      </c>
      <c r="D29" s="15"/>
      <c r="E29" s="15"/>
      <c r="F29" s="15"/>
      <c r="G29" s="15">
        <f t="shared" si="0"/>
        <v>80.76</v>
      </c>
      <c r="H29" s="15" t="s">
        <v>36</v>
      </c>
      <c r="I29" s="15">
        <v>2019</v>
      </c>
      <c r="J29" s="15">
        <v>400</v>
      </c>
      <c r="K29" s="15"/>
      <c r="M29" s="28">
        <v>5</v>
      </c>
      <c r="N29" s="28" t="s">
        <v>276</v>
      </c>
      <c r="O29" s="28" t="s">
        <v>85</v>
      </c>
      <c r="P29" s="28" t="s">
        <v>36</v>
      </c>
      <c r="Q29" s="28">
        <v>2077</v>
      </c>
      <c r="R29" s="28"/>
    </row>
    <row r="30" spans="1:18" ht="25.5" customHeight="1">
      <c r="A30" s="17">
        <v>2.8</v>
      </c>
      <c r="B30" s="14" t="s">
        <v>277</v>
      </c>
      <c r="C30" s="15">
        <f t="shared" si="2"/>
        <v>86.56</v>
      </c>
      <c r="D30" s="15"/>
      <c r="E30" s="15"/>
      <c r="F30" s="15"/>
      <c r="G30" s="15">
        <f t="shared" si="0"/>
        <v>86.56</v>
      </c>
      <c r="H30" s="15" t="s">
        <v>36</v>
      </c>
      <c r="I30" s="15">
        <v>2164</v>
      </c>
      <c r="J30" s="15">
        <f>J9</f>
        <v>400</v>
      </c>
      <c r="K30" s="15"/>
      <c r="M30" s="28">
        <v>6</v>
      </c>
      <c r="N30" s="28" t="s">
        <v>278</v>
      </c>
      <c r="O30" s="28" t="s">
        <v>85</v>
      </c>
      <c r="P30" s="28" t="s">
        <v>36</v>
      </c>
      <c r="Q30" s="28">
        <v>32928</v>
      </c>
      <c r="R30" s="28"/>
    </row>
    <row r="31" spans="1:18" ht="25.5" customHeight="1">
      <c r="A31" s="17">
        <v>2.9</v>
      </c>
      <c r="B31" s="14" t="s">
        <v>246</v>
      </c>
      <c r="C31" s="15">
        <f t="shared" si="2"/>
        <v>1167.32</v>
      </c>
      <c r="D31" s="15"/>
      <c r="E31" s="15"/>
      <c r="F31" s="15"/>
      <c r="G31" s="15">
        <f t="shared" si="0"/>
        <v>1167.32</v>
      </c>
      <c r="H31" s="15" t="s">
        <v>36</v>
      </c>
      <c r="I31" s="15">
        <v>4169</v>
      </c>
      <c r="J31" s="15">
        <v>2800</v>
      </c>
      <c r="K31" s="15"/>
      <c r="M31" s="28">
        <v>7</v>
      </c>
      <c r="N31" s="28" t="s">
        <v>185</v>
      </c>
      <c r="O31" s="28" t="s">
        <v>262</v>
      </c>
      <c r="P31" s="28" t="s">
        <v>36</v>
      </c>
      <c r="Q31" s="28">
        <v>2019</v>
      </c>
      <c r="R31" s="28"/>
    </row>
    <row r="32" spans="1:18" ht="25.5" customHeight="1">
      <c r="A32" s="15">
        <v>2.1</v>
      </c>
      <c r="B32" s="14" t="s">
        <v>207</v>
      </c>
      <c r="C32" s="15">
        <f t="shared" si="2"/>
        <v>683.04</v>
      </c>
      <c r="D32" s="15"/>
      <c r="E32" s="15"/>
      <c r="F32" s="15"/>
      <c r="G32" s="15">
        <f t="shared" si="0"/>
        <v>683.04</v>
      </c>
      <c r="H32" s="15" t="s">
        <v>36</v>
      </c>
      <c r="I32" s="15">
        <v>4269</v>
      </c>
      <c r="J32" s="15">
        <f>J11</f>
        <v>1600</v>
      </c>
      <c r="K32" s="15"/>
      <c r="M32" s="28">
        <v>8</v>
      </c>
      <c r="N32" s="28" t="s">
        <v>279</v>
      </c>
      <c r="O32" s="28" t="s">
        <v>85</v>
      </c>
      <c r="P32" s="28" t="s">
        <v>36</v>
      </c>
      <c r="Q32" s="28">
        <v>2164</v>
      </c>
      <c r="R32" s="28"/>
    </row>
    <row r="33" spans="1:18" ht="25.5" customHeight="1">
      <c r="A33" s="15">
        <v>2.11</v>
      </c>
      <c r="B33" s="22" t="s">
        <v>124</v>
      </c>
      <c r="C33" s="15">
        <f t="shared" si="2"/>
        <v>1292.8</v>
      </c>
      <c r="D33" s="15"/>
      <c r="E33" s="15"/>
      <c r="F33" s="15"/>
      <c r="G33" s="15">
        <f t="shared" si="0"/>
        <v>1292.8</v>
      </c>
      <c r="H33" s="15" t="s">
        <v>36</v>
      </c>
      <c r="I33" s="15">
        <v>8080</v>
      </c>
      <c r="J33" s="15">
        <v>1600</v>
      </c>
      <c r="K33" s="15"/>
      <c r="M33" s="28">
        <v>9</v>
      </c>
      <c r="N33" s="28" t="s">
        <v>280</v>
      </c>
      <c r="O33" s="28" t="s">
        <v>281</v>
      </c>
      <c r="P33" s="28" t="s">
        <v>36</v>
      </c>
      <c r="Q33" s="28">
        <v>4169</v>
      </c>
      <c r="R33" s="28"/>
    </row>
    <row r="34" spans="1:18" ht="25.5" customHeight="1">
      <c r="A34" s="15">
        <v>2.12</v>
      </c>
      <c r="B34" s="22" t="s">
        <v>247</v>
      </c>
      <c r="C34" s="15">
        <f t="shared" si="2"/>
        <v>579.79</v>
      </c>
      <c r="D34" s="15"/>
      <c r="E34" s="15"/>
      <c r="F34" s="15"/>
      <c r="G34" s="15">
        <f t="shared" si="0"/>
        <v>579.79</v>
      </c>
      <c r="H34" s="15" t="s">
        <v>36</v>
      </c>
      <c r="I34" s="15">
        <v>57979</v>
      </c>
      <c r="J34" s="15">
        <v>100</v>
      </c>
      <c r="K34" s="15"/>
      <c r="M34" s="28">
        <v>10</v>
      </c>
      <c r="N34" s="28" t="s">
        <v>219</v>
      </c>
      <c r="O34" s="28" t="s">
        <v>220</v>
      </c>
      <c r="P34" s="28" t="s">
        <v>36</v>
      </c>
      <c r="Q34" s="28">
        <v>4269</v>
      </c>
      <c r="R34" s="28"/>
    </row>
    <row r="35" spans="1:18" ht="25.5" customHeight="1">
      <c r="A35" s="15">
        <v>2.13</v>
      </c>
      <c r="B35" s="22" t="s">
        <v>248</v>
      </c>
      <c r="C35" s="15">
        <f t="shared" si="2"/>
        <v>1299</v>
      </c>
      <c r="D35" s="15"/>
      <c r="E35" s="15"/>
      <c r="F35" s="15"/>
      <c r="G35" s="15">
        <f t="shared" si="0"/>
        <v>1299</v>
      </c>
      <c r="H35" s="15" t="s">
        <v>36</v>
      </c>
      <c r="I35" s="15">
        <v>6495</v>
      </c>
      <c r="J35" s="15">
        <v>2000</v>
      </c>
      <c r="K35" s="15"/>
      <c r="M35" s="28">
        <v>11</v>
      </c>
      <c r="N35" s="28" t="s">
        <v>231</v>
      </c>
      <c r="O35" s="28" t="s">
        <v>220</v>
      </c>
      <c r="P35" s="28" t="s">
        <v>36</v>
      </c>
      <c r="Q35" s="28">
        <v>8080</v>
      </c>
      <c r="R35" s="28"/>
    </row>
    <row r="36" spans="1:18" ht="25.5" customHeight="1">
      <c r="A36" s="15">
        <v>2.14</v>
      </c>
      <c r="B36" s="22" t="s">
        <v>249</v>
      </c>
      <c r="C36" s="15">
        <f t="shared" si="2"/>
        <v>2.2</v>
      </c>
      <c r="D36" s="15"/>
      <c r="E36" s="15"/>
      <c r="F36" s="15"/>
      <c r="G36" s="15">
        <f t="shared" si="0"/>
        <v>2.2</v>
      </c>
      <c r="H36" s="15" t="s">
        <v>94</v>
      </c>
      <c r="I36" s="15">
        <v>11</v>
      </c>
      <c r="J36" s="15">
        <v>2000</v>
      </c>
      <c r="K36" s="15"/>
      <c r="M36" s="28">
        <v>12</v>
      </c>
      <c r="N36" s="28" t="s">
        <v>247</v>
      </c>
      <c r="O36" s="28"/>
      <c r="P36" s="28" t="s">
        <v>36</v>
      </c>
      <c r="Q36" s="28">
        <v>57979</v>
      </c>
      <c r="R36" s="28"/>
    </row>
    <row r="37" spans="1:18" ht="25.5" customHeight="1">
      <c r="A37" s="15">
        <v>2.15</v>
      </c>
      <c r="B37" s="22" t="s">
        <v>250</v>
      </c>
      <c r="C37" s="15">
        <f t="shared" si="2"/>
        <v>12.3</v>
      </c>
      <c r="D37" s="15"/>
      <c r="E37" s="15"/>
      <c r="F37" s="15"/>
      <c r="G37" s="15">
        <f t="shared" si="0"/>
        <v>12.3</v>
      </c>
      <c r="H37" s="15" t="s">
        <v>94</v>
      </c>
      <c r="I37" s="15">
        <v>82</v>
      </c>
      <c r="J37" s="15">
        <v>1500</v>
      </c>
      <c r="K37" s="15"/>
      <c r="M37" s="28">
        <v>13</v>
      </c>
      <c r="N37" s="28" t="s">
        <v>248</v>
      </c>
      <c r="O37" s="28"/>
      <c r="P37" s="28" t="s">
        <v>36</v>
      </c>
      <c r="Q37" s="28">
        <v>6495</v>
      </c>
      <c r="R37" s="28"/>
    </row>
    <row r="38" spans="1:18" ht="25.5" customHeight="1">
      <c r="A38" s="15">
        <v>2.16</v>
      </c>
      <c r="B38" s="22" t="s">
        <v>127</v>
      </c>
      <c r="C38" s="15">
        <f t="shared" si="2"/>
        <v>200</v>
      </c>
      <c r="D38" s="15"/>
      <c r="E38" s="15"/>
      <c r="F38" s="15"/>
      <c r="G38" s="15">
        <f t="shared" si="0"/>
        <v>200</v>
      </c>
      <c r="H38" s="15" t="s">
        <v>251</v>
      </c>
      <c r="I38" s="15">
        <v>1</v>
      </c>
      <c r="J38" s="15">
        <v>2000000</v>
      </c>
      <c r="K38" s="15"/>
      <c r="M38" s="28">
        <v>14</v>
      </c>
      <c r="N38" s="28" t="s">
        <v>282</v>
      </c>
      <c r="O38" s="28"/>
      <c r="P38" s="28" t="s">
        <v>94</v>
      </c>
      <c r="Q38" s="28">
        <v>11</v>
      </c>
      <c r="R38" s="28"/>
    </row>
    <row r="39" spans="1:18" ht="25.5" customHeight="1">
      <c r="A39" s="15">
        <v>2.17</v>
      </c>
      <c r="B39" s="14" t="s">
        <v>283</v>
      </c>
      <c r="C39" s="15">
        <f t="shared" si="2"/>
        <v>7</v>
      </c>
      <c r="D39" s="15"/>
      <c r="E39" s="15"/>
      <c r="F39" s="15"/>
      <c r="G39" s="15">
        <f t="shared" si="0"/>
        <v>7</v>
      </c>
      <c r="H39" s="15" t="s">
        <v>94</v>
      </c>
      <c r="I39" s="15">
        <v>14</v>
      </c>
      <c r="J39" s="15">
        <v>5000</v>
      </c>
      <c r="K39" s="15"/>
      <c r="M39" s="28">
        <v>15</v>
      </c>
      <c r="N39" s="28" t="s">
        <v>250</v>
      </c>
      <c r="O39" s="28"/>
      <c r="P39" s="28" t="s">
        <v>94</v>
      </c>
      <c r="Q39" s="28">
        <v>82</v>
      </c>
      <c r="R39" s="28"/>
    </row>
    <row r="40" spans="1:18" ht="25.5" customHeight="1">
      <c r="A40" s="21">
        <v>3</v>
      </c>
      <c r="B40" s="14" t="s">
        <v>284</v>
      </c>
      <c r="C40" s="15">
        <f>C41+C42+C43+C50</f>
        <v>1094.5648999999999</v>
      </c>
      <c r="D40" s="15"/>
      <c r="E40" s="15"/>
      <c r="F40" s="15"/>
      <c r="G40" s="15">
        <f t="shared" si="0"/>
        <v>1094.5648999999999</v>
      </c>
      <c r="H40" s="15"/>
      <c r="I40" s="15"/>
      <c r="J40" s="15"/>
      <c r="K40" s="15"/>
      <c r="M40" s="28">
        <v>16</v>
      </c>
      <c r="N40" s="28" t="s">
        <v>127</v>
      </c>
      <c r="O40" s="28"/>
      <c r="P40" s="28" t="s">
        <v>251</v>
      </c>
      <c r="Q40" s="28">
        <v>1</v>
      </c>
      <c r="R40" s="28"/>
    </row>
    <row r="41" spans="1:18" ht="25.5" customHeight="1">
      <c r="A41" s="17">
        <v>3.1</v>
      </c>
      <c r="B41" s="14" t="s">
        <v>285</v>
      </c>
      <c r="C41" s="15">
        <f aca="true" t="shared" si="3" ref="C41:C49">I41*J41/10000</f>
        <v>100</v>
      </c>
      <c r="D41" s="15"/>
      <c r="E41" s="15"/>
      <c r="F41" s="15"/>
      <c r="G41" s="15">
        <f t="shared" si="0"/>
        <v>100</v>
      </c>
      <c r="H41" s="15" t="s">
        <v>94</v>
      </c>
      <c r="I41" s="15">
        <v>1</v>
      </c>
      <c r="J41" s="15">
        <v>1000000</v>
      </c>
      <c r="K41" s="15"/>
      <c r="M41" s="28">
        <v>17</v>
      </c>
      <c r="N41" s="28" t="s">
        <v>283</v>
      </c>
      <c r="O41" s="28"/>
      <c r="P41" s="28" t="s">
        <v>94</v>
      </c>
      <c r="Q41" s="28">
        <v>14</v>
      </c>
      <c r="R41" s="28"/>
    </row>
    <row r="42" spans="1:18" ht="25.5" customHeight="1">
      <c r="A42" s="17">
        <v>3.2</v>
      </c>
      <c r="B42" s="14" t="s">
        <v>117</v>
      </c>
      <c r="C42" s="15">
        <f t="shared" si="3"/>
        <v>181.764</v>
      </c>
      <c r="D42" s="15"/>
      <c r="E42" s="15"/>
      <c r="F42" s="15"/>
      <c r="G42" s="15">
        <f t="shared" si="0"/>
        <v>181.764</v>
      </c>
      <c r="H42" s="15" t="s">
        <v>36</v>
      </c>
      <c r="I42" s="15">
        <v>5049</v>
      </c>
      <c r="J42" s="15">
        <f>J8</f>
        <v>360</v>
      </c>
      <c r="K42" s="15"/>
      <c r="M42" s="31" t="s">
        <v>284</v>
      </c>
      <c r="N42" s="31"/>
      <c r="O42" s="31"/>
      <c r="P42" s="31"/>
      <c r="Q42" s="31"/>
      <c r="R42" s="31"/>
    </row>
    <row r="43" spans="1:18" ht="25.5" customHeight="1">
      <c r="A43" s="17">
        <v>3.3</v>
      </c>
      <c r="B43" s="23" t="s">
        <v>286</v>
      </c>
      <c r="C43" s="15">
        <f>SUM(C44:C49)</f>
        <v>643.2609</v>
      </c>
      <c r="D43" s="15"/>
      <c r="E43" s="15"/>
      <c r="F43" s="15"/>
      <c r="G43" s="15">
        <f t="shared" si="0"/>
        <v>643.2609</v>
      </c>
      <c r="H43" s="15"/>
      <c r="I43" s="15"/>
      <c r="J43" s="15"/>
      <c r="K43" s="15"/>
      <c r="M43" s="28"/>
      <c r="N43" s="28" t="s">
        <v>114</v>
      </c>
      <c r="O43" s="28" t="s">
        <v>182</v>
      </c>
      <c r="P43" s="28" t="s">
        <v>12</v>
      </c>
      <c r="Q43" s="28" t="s">
        <v>13</v>
      </c>
      <c r="R43" s="28" t="s">
        <v>183</v>
      </c>
    </row>
    <row r="44" spans="1:18" ht="25.5" customHeight="1">
      <c r="A44" s="17" t="s">
        <v>287</v>
      </c>
      <c r="B44" s="23" t="s">
        <v>77</v>
      </c>
      <c r="C44" s="15">
        <f t="shared" si="3"/>
        <v>25.6</v>
      </c>
      <c r="D44" s="15"/>
      <c r="E44" s="15"/>
      <c r="F44" s="15"/>
      <c r="G44" s="15">
        <f t="shared" si="0"/>
        <v>25.6</v>
      </c>
      <c r="H44" s="15" t="s">
        <v>36</v>
      </c>
      <c r="I44" s="15">
        <v>1280</v>
      </c>
      <c r="J44" s="15">
        <f>J23</f>
        <v>200</v>
      </c>
      <c r="K44" s="15"/>
      <c r="M44" s="28">
        <v>1</v>
      </c>
      <c r="N44" s="28" t="s">
        <v>288</v>
      </c>
      <c r="O44" s="28"/>
      <c r="P44" s="28" t="s">
        <v>36</v>
      </c>
      <c r="Q44" s="28">
        <v>53331</v>
      </c>
      <c r="R44" s="28" t="s">
        <v>289</v>
      </c>
    </row>
    <row r="45" spans="1:18" ht="25.5" customHeight="1">
      <c r="A45" s="17" t="s">
        <v>290</v>
      </c>
      <c r="B45" s="23" t="s">
        <v>181</v>
      </c>
      <c r="C45" s="15">
        <f t="shared" si="3"/>
        <v>51.8609</v>
      </c>
      <c r="D45" s="15"/>
      <c r="E45" s="15"/>
      <c r="F45" s="15"/>
      <c r="G45" s="15">
        <f t="shared" si="0"/>
        <v>51.8609</v>
      </c>
      <c r="H45" s="15" t="s">
        <v>36</v>
      </c>
      <c r="I45" s="15">
        <v>1807</v>
      </c>
      <c r="J45" s="15">
        <v>287</v>
      </c>
      <c r="K45" s="15"/>
      <c r="M45" s="28">
        <v>2</v>
      </c>
      <c r="N45" s="28" t="s">
        <v>185</v>
      </c>
      <c r="O45" s="28" t="s">
        <v>262</v>
      </c>
      <c r="P45" s="28" t="s">
        <v>36</v>
      </c>
      <c r="Q45" s="28">
        <v>5049</v>
      </c>
      <c r="R45" s="28"/>
    </row>
    <row r="46" spans="1:18" ht="25.5" customHeight="1">
      <c r="A46" s="17" t="s">
        <v>291</v>
      </c>
      <c r="B46" s="23" t="s">
        <v>120</v>
      </c>
      <c r="C46" s="15">
        <f t="shared" si="3"/>
        <v>23.88</v>
      </c>
      <c r="D46" s="15"/>
      <c r="E46" s="15"/>
      <c r="F46" s="15"/>
      <c r="G46" s="15">
        <f t="shared" si="0"/>
        <v>23.88</v>
      </c>
      <c r="H46" s="15" t="s">
        <v>36</v>
      </c>
      <c r="I46" s="15">
        <v>597</v>
      </c>
      <c r="J46" s="15">
        <f>J9</f>
        <v>400</v>
      </c>
      <c r="K46" s="15"/>
      <c r="M46" s="28">
        <v>3</v>
      </c>
      <c r="N46" s="28"/>
      <c r="O46" s="28" t="s">
        <v>286</v>
      </c>
      <c r="P46" s="28"/>
      <c r="Q46" s="28"/>
      <c r="R46" s="28"/>
    </row>
    <row r="47" spans="1:18" ht="25.5" customHeight="1">
      <c r="A47" s="17" t="s">
        <v>292</v>
      </c>
      <c r="B47" s="23" t="s">
        <v>207</v>
      </c>
      <c r="C47" s="15">
        <f t="shared" si="3"/>
        <v>22.72</v>
      </c>
      <c r="D47" s="15"/>
      <c r="E47" s="15"/>
      <c r="F47" s="15"/>
      <c r="G47" s="15">
        <f t="shared" si="0"/>
        <v>22.72</v>
      </c>
      <c r="H47" s="15" t="s">
        <v>36</v>
      </c>
      <c r="I47" s="15">
        <v>142</v>
      </c>
      <c r="J47" s="15">
        <f>J11</f>
        <v>1600</v>
      </c>
      <c r="K47" s="15"/>
      <c r="M47" s="28">
        <v>4</v>
      </c>
      <c r="N47" s="28" t="s">
        <v>77</v>
      </c>
      <c r="O47" s="28" t="s">
        <v>190</v>
      </c>
      <c r="P47" s="28" t="s">
        <v>36</v>
      </c>
      <c r="Q47" s="28">
        <v>1280</v>
      </c>
      <c r="R47" s="28"/>
    </row>
    <row r="48" spans="1:18" ht="25.5" customHeight="1">
      <c r="A48" s="17" t="s">
        <v>293</v>
      </c>
      <c r="B48" s="23" t="s">
        <v>201</v>
      </c>
      <c r="C48" s="15">
        <f t="shared" si="3"/>
        <v>19.2</v>
      </c>
      <c r="D48" s="15"/>
      <c r="E48" s="15"/>
      <c r="F48" s="15"/>
      <c r="G48" s="15">
        <f t="shared" si="0"/>
        <v>19.2</v>
      </c>
      <c r="H48" s="15" t="s">
        <v>23</v>
      </c>
      <c r="I48" s="15">
        <v>48</v>
      </c>
      <c r="J48" s="15">
        <v>4000</v>
      </c>
      <c r="K48" s="15"/>
      <c r="M48" s="28">
        <v>5</v>
      </c>
      <c r="N48" s="28" t="s">
        <v>181</v>
      </c>
      <c r="O48" s="28"/>
      <c r="P48" s="28" t="s">
        <v>36</v>
      </c>
      <c r="Q48" s="28">
        <v>1807</v>
      </c>
      <c r="R48" s="28"/>
    </row>
    <row r="49" spans="1:18" ht="25.5" customHeight="1">
      <c r="A49" s="17" t="s">
        <v>294</v>
      </c>
      <c r="B49" s="23" t="s">
        <v>212</v>
      </c>
      <c r="C49" s="15">
        <f t="shared" si="3"/>
        <v>500</v>
      </c>
      <c r="D49" s="15"/>
      <c r="E49" s="15"/>
      <c r="F49" s="15"/>
      <c r="G49" s="15">
        <f t="shared" si="0"/>
        <v>500</v>
      </c>
      <c r="H49" s="15" t="s">
        <v>94</v>
      </c>
      <c r="I49" s="15">
        <v>1</v>
      </c>
      <c r="J49" s="15">
        <v>5000000</v>
      </c>
      <c r="K49" s="15"/>
      <c r="M49" s="28">
        <v>6</v>
      </c>
      <c r="N49" s="28" t="s">
        <v>177</v>
      </c>
      <c r="O49" s="28" t="s">
        <v>85</v>
      </c>
      <c r="P49" s="28" t="s">
        <v>36</v>
      </c>
      <c r="Q49" s="28">
        <v>597</v>
      </c>
      <c r="R49" s="28"/>
    </row>
    <row r="50" spans="1:18" ht="25.5" customHeight="1">
      <c r="A50" s="17">
        <v>3.4</v>
      </c>
      <c r="B50" s="23" t="s">
        <v>295</v>
      </c>
      <c r="C50" s="15">
        <f>SUM(C51:C55)</f>
        <v>169.53999999999996</v>
      </c>
      <c r="D50" s="15"/>
      <c r="E50" s="15"/>
      <c r="F50" s="15"/>
      <c r="G50" s="15">
        <f t="shared" si="0"/>
        <v>169.53999999999996</v>
      </c>
      <c r="H50" s="15"/>
      <c r="I50" s="15"/>
      <c r="J50" s="15"/>
      <c r="K50" s="15"/>
      <c r="M50" s="28">
        <v>7</v>
      </c>
      <c r="N50" s="28" t="s">
        <v>219</v>
      </c>
      <c r="O50" s="28" t="s">
        <v>220</v>
      </c>
      <c r="P50" s="28" t="s">
        <v>36</v>
      </c>
      <c r="Q50" s="28">
        <v>142</v>
      </c>
      <c r="R50" s="28"/>
    </row>
    <row r="51" spans="1:18" ht="25.5" customHeight="1">
      <c r="A51" s="17" t="s">
        <v>211</v>
      </c>
      <c r="B51" s="23" t="s">
        <v>77</v>
      </c>
      <c r="C51" s="15">
        <f>I51*J51/10000</f>
        <v>23.42</v>
      </c>
      <c r="D51" s="15"/>
      <c r="E51" s="15"/>
      <c r="F51" s="15"/>
      <c r="G51" s="15">
        <f t="shared" si="0"/>
        <v>23.42</v>
      </c>
      <c r="H51" s="15" t="s">
        <v>36</v>
      </c>
      <c r="I51" s="15">
        <v>1171</v>
      </c>
      <c r="J51" s="15">
        <f>J23</f>
        <v>200</v>
      </c>
      <c r="K51" s="15"/>
      <c r="M51" s="28">
        <v>8</v>
      </c>
      <c r="N51" s="28" t="s">
        <v>201</v>
      </c>
      <c r="O51" s="28"/>
      <c r="P51" s="28" t="s">
        <v>23</v>
      </c>
      <c r="Q51" s="28">
        <v>48</v>
      </c>
      <c r="R51" s="28"/>
    </row>
    <row r="52" spans="1:18" ht="25.5" customHeight="1">
      <c r="A52" s="17" t="s">
        <v>214</v>
      </c>
      <c r="B52" s="23" t="s">
        <v>199</v>
      </c>
      <c r="C52" s="15">
        <f>I52*J52/10000</f>
        <v>50.12</v>
      </c>
      <c r="D52" s="15"/>
      <c r="E52" s="15"/>
      <c r="F52" s="15"/>
      <c r="G52" s="15">
        <f t="shared" si="0"/>
        <v>50.12</v>
      </c>
      <c r="H52" s="15" t="s">
        <v>36</v>
      </c>
      <c r="I52" s="15">
        <v>1253</v>
      </c>
      <c r="J52" s="15">
        <f>J9</f>
        <v>400</v>
      </c>
      <c r="K52" s="15"/>
      <c r="M52" s="28"/>
      <c r="N52" s="28" t="s">
        <v>212</v>
      </c>
      <c r="O52" s="28"/>
      <c r="P52" s="28" t="s">
        <v>94</v>
      </c>
      <c r="Q52" s="28">
        <v>1</v>
      </c>
      <c r="R52" s="28"/>
    </row>
    <row r="53" spans="1:18" ht="25.5" customHeight="1">
      <c r="A53" s="17" t="s">
        <v>296</v>
      </c>
      <c r="B53" s="23" t="s">
        <v>218</v>
      </c>
      <c r="C53" s="15">
        <f>I53*J53/10000</f>
        <v>2.8</v>
      </c>
      <c r="D53" s="15"/>
      <c r="E53" s="15"/>
      <c r="F53" s="15"/>
      <c r="G53" s="15">
        <f t="shared" si="0"/>
        <v>2.8</v>
      </c>
      <c r="H53" s="15" t="s">
        <v>94</v>
      </c>
      <c r="I53" s="15">
        <v>14</v>
      </c>
      <c r="J53" s="15">
        <v>2000</v>
      </c>
      <c r="K53" s="15"/>
      <c r="M53" s="28">
        <v>9</v>
      </c>
      <c r="N53" s="28"/>
      <c r="O53" s="28" t="s">
        <v>295</v>
      </c>
      <c r="P53" s="28"/>
      <c r="Q53" s="28"/>
      <c r="R53" s="28"/>
    </row>
    <row r="54" spans="1:18" ht="25.5" customHeight="1">
      <c r="A54" s="17" t="s">
        <v>297</v>
      </c>
      <c r="B54" s="23" t="s">
        <v>192</v>
      </c>
      <c r="C54" s="15">
        <f>I54*J54/10000</f>
        <v>90</v>
      </c>
      <c r="D54" s="15"/>
      <c r="E54" s="15"/>
      <c r="F54" s="15"/>
      <c r="G54" s="15">
        <f t="shared" si="0"/>
        <v>90</v>
      </c>
      <c r="H54" s="15" t="s">
        <v>94</v>
      </c>
      <c r="I54" s="15">
        <v>3</v>
      </c>
      <c r="J54" s="15">
        <v>300000</v>
      </c>
      <c r="K54" s="15"/>
      <c r="M54" s="28">
        <v>10</v>
      </c>
      <c r="N54" s="28" t="s">
        <v>77</v>
      </c>
      <c r="O54" s="28"/>
      <c r="P54" s="28" t="s">
        <v>36</v>
      </c>
      <c r="Q54" s="28">
        <v>1171</v>
      </c>
      <c r="R54" s="28"/>
    </row>
    <row r="55" spans="1:18" ht="25.5" customHeight="1">
      <c r="A55" s="17" t="s">
        <v>217</v>
      </c>
      <c r="B55" s="14" t="s">
        <v>218</v>
      </c>
      <c r="C55" s="15">
        <f>I55*J55/10000</f>
        <v>3.2</v>
      </c>
      <c r="D55" s="15"/>
      <c r="E55" s="15"/>
      <c r="F55" s="15"/>
      <c r="G55" s="15">
        <f t="shared" si="0"/>
        <v>3.2</v>
      </c>
      <c r="H55" s="15" t="s">
        <v>23</v>
      </c>
      <c r="I55" s="15">
        <v>32</v>
      </c>
      <c r="J55" s="15">
        <v>1000</v>
      </c>
      <c r="K55" s="15"/>
      <c r="M55" s="28">
        <v>11</v>
      </c>
      <c r="N55" s="28" t="s">
        <v>177</v>
      </c>
      <c r="O55" s="28"/>
      <c r="P55" s="28" t="s">
        <v>36</v>
      </c>
      <c r="Q55" s="28">
        <v>1253</v>
      </c>
      <c r="R55" s="28"/>
    </row>
    <row r="56" spans="1:18" ht="25.5" customHeight="1">
      <c r="A56" s="21">
        <v>4</v>
      </c>
      <c r="B56" s="14" t="s">
        <v>153</v>
      </c>
      <c r="C56" s="15">
        <f>C57+C58+C59+C60</f>
        <v>88.4</v>
      </c>
      <c r="D56" s="15"/>
      <c r="E56" s="15"/>
      <c r="F56" s="15"/>
      <c r="G56" s="15">
        <f t="shared" si="0"/>
        <v>88.4</v>
      </c>
      <c r="H56" s="15"/>
      <c r="I56" s="15"/>
      <c r="J56" s="15"/>
      <c r="K56" s="15"/>
      <c r="M56" s="28">
        <v>12</v>
      </c>
      <c r="N56" s="28" t="s">
        <v>218</v>
      </c>
      <c r="O56" s="28"/>
      <c r="P56" s="28" t="s">
        <v>94</v>
      </c>
      <c r="Q56" s="28">
        <v>14</v>
      </c>
      <c r="R56" s="28"/>
    </row>
    <row r="57" spans="1:18" ht="25.5" customHeight="1">
      <c r="A57" s="17">
        <v>4.1</v>
      </c>
      <c r="B57" s="14" t="s">
        <v>154</v>
      </c>
      <c r="C57" s="15">
        <f>I57*J57/10000</f>
        <v>23.8</v>
      </c>
      <c r="D57" s="15"/>
      <c r="E57" s="15"/>
      <c r="F57" s="15"/>
      <c r="G57" s="15">
        <f t="shared" si="0"/>
        <v>23.8</v>
      </c>
      <c r="H57" s="15" t="s">
        <v>94</v>
      </c>
      <c r="I57" s="15">
        <v>119</v>
      </c>
      <c r="J57" s="15">
        <v>2000</v>
      </c>
      <c r="K57" s="15"/>
      <c r="M57" s="28">
        <v>13</v>
      </c>
      <c r="N57" s="28" t="s">
        <v>192</v>
      </c>
      <c r="O57" s="28" t="s">
        <v>298</v>
      </c>
      <c r="P57" s="28" t="s">
        <v>94</v>
      </c>
      <c r="Q57" s="28">
        <v>3</v>
      </c>
      <c r="R57" s="28"/>
    </row>
    <row r="58" spans="1:18" ht="25.5" customHeight="1">
      <c r="A58" s="17">
        <v>4.2</v>
      </c>
      <c r="B58" s="14" t="s">
        <v>95</v>
      </c>
      <c r="C58" s="15">
        <f>I58*J58/10000</f>
        <v>23.8</v>
      </c>
      <c r="D58" s="15"/>
      <c r="E58" s="15"/>
      <c r="F58" s="15"/>
      <c r="G58" s="15">
        <f t="shared" si="0"/>
        <v>23.8</v>
      </c>
      <c r="H58" s="15" t="s">
        <v>94</v>
      </c>
      <c r="I58" s="15">
        <v>119</v>
      </c>
      <c r="J58" s="15">
        <v>2000</v>
      </c>
      <c r="K58" s="15"/>
      <c r="M58" s="28">
        <v>14</v>
      </c>
      <c r="N58" s="28" t="s">
        <v>218</v>
      </c>
      <c r="O58" s="28"/>
      <c r="P58" s="28" t="s">
        <v>23</v>
      </c>
      <c r="Q58" s="28">
        <v>32</v>
      </c>
      <c r="R58" s="28"/>
    </row>
    <row r="59" spans="1:11" ht="25.5" customHeight="1">
      <c r="A59" s="17">
        <v>4.3</v>
      </c>
      <c r="B59" s="14" t="s">
        <v>96</v>
      </c>
      <c r="C59" s="15">
        <f>I59*J59/10000</f>
        <v>0.8</v>
      </c>
      <c r="D59" s="15"/>
      <c r="E59" s="15"/>
      <c r="F59" s="15"/>
      <c r="G59" s="15">
        <f t="shared" si="0"/>
        <v>0.8</v>
      </c>
      <c r="H59" s="15" t="s">
        <v>94</v>
      </c>
      <c r="I59" s="15">
        <v>8</v>
      </c>
      <c r="J59" s="15">
        <v>1000</v>
      </c>
      <c r="K59" s="15"/>
    </row>
    <row r="60" spans="1:11" ht="25.5" customHeight="1">
      <c r="A60" s="17">
        <v>4.4</v>
      </c>
      <c r="B60" s="14" t="s">
        <v>155</v>
      </c>
      <c r="C60" s="15">
        <f>I60*J60/10000</f>
        <v>40</v>
      </c>
      <c r="D60" s="15"/>
      <c r="E60" s="15"/>
      <c r="F60" s="15"/>
      <c r="G60" s="15">
        <f t="shared" si="0"/>
        <v>40</v>
      </c>
      <c r="H60" s="15" t="s">
        <v>52</v>
      </c>
      <c r="I60" s="15">
        <v>4</v>
      </c>
      <c r="J60" s="15">
        <v>100000</v>
      </c>
      <c r="K60" s="15"/>
    </row>
    <row r="61" spans="1:11" ht="25.5" customHeight="1">
      <c r="A61" s="6">
        <v>5</v>
      </c>
      <c r="B61" s="14" t="s">
        <v>139</v>
      </c>
      <c r="C61" s="15">
        <f>SUM(C62:C72)</f>
        <v>0</v>
      </c>
      <c r="D61" s="15">
        <f>SUM(D62:D72)</f>
        <v>437.38000000000005</v>
      </c>
      <c r="E61" s="15">
        <f>SUM(E62:E72)</f>
        <v>27</v>
      </c>
      <c r="F61" s="15">
        <f>SUM(F62:F70)</f>
        <v>0</v>
      </c>
      <c r="G61" s="15">
        <f t="shared" si="0"/>
        <v>464.38000000000005</v>
      </c>
      <c r="H61" s="15"/>
      <c r="I61" s="15"/>
      <c r="J61" s="15"/>
      <c r="K61" s="26"/>
    </row>
    <row r="62" spans="1:11" ht="25.5" customHeight="1">
      <c r="A62" s="6">
        <v>5.1</v>
      </c>
      <c r="B62" s="14" t="s">
        <v>253</v>
      </c>
      <c r="C62" s="15"/>
      <c r="D62" s="15">
        <f>E62*0.1</f>
        <v>2.7</v>
      </c>
      <c r="E62" s="15">
        <v>27</v>
      </c>
      <c r="F62" s="15"/>
      <c r="G62" s="15">
        <f aca="true" t="shared" si="4" ref="G62:G72">SUM(D62:F62)</f>
        <v>29.7</v>
      </c>
      <c r="H62" s="15" t="s">
        <v>141</v>
      </c>
      <c r="I62" s="15">
        <v>1</v>
      </c>
      <c r="J62" s="15">
        <v>297000</v>
      </c>
      <c r="K62" s="26"/>
    </row>
    <row r="63" spans="1:11" ht="25.5" customHeight="1">
      <c r="A63" s="6">
        <v>5.2</v>
      </c>
      <c r="B63" s="14" t="s">
        <v>299</v>
      </c>
      <c r="C63" s="15"/>
      <c r="D63" s="15">
        <f aca="true" t="shared" si="5" ref="D63:D72">I63*J63/10000</f>
        <v>60</v>
      </c>
      <c r="E63" s="15"/>
      <c r="F63" s="15"/>
      <c r="G63" s="15">
        <f t="shared" si="4"/>
        <v>60</v>
      </c>
      <c r="H63" s="15" t="s">
        <v>143</v>
      </c>
      <c r="I63" s="15">
        <v>2</v>
      </c>
      <c r="J63" s="15">
        <v>300000</v>
      </c>
      <c r="K63" s="26"/>
    </row>
    <row r="64" spans="1:11" ht="25.5" customHeight="1">
      <c r="A64" s="6">
        <v>5.3</v>
      </c>
      <c r="B64" s="14" t="s">
        <v>144</v>
      </c>
      <c r="C64" s="15"/>
      <c r="D64" s="15">
        <f t="shared" si="5"/>
        <v>84</v>
      </c>
      <c r="E64" s="15"/>
      <c r="F64" s="15"/>
      <c r="G64" s="15">
        <f t="shared" si="4"/>
        <v>84</v>
      </c>
      <c r="H64" s="15" t="s">
        <v>143</v>
      </c>
      <c r="I64" s="15">
        <v>10</v>
      </c>
      <c r="J64" s="15">
        <v>84000</v>
      </c>
      <c r="K64" s="26"/>
    </row>
    <row r="65" spans="1:11" ht="25.5" customHeight="1">
      <c r="A65" s="6">
        <v>5.4</v>
      </c>
      <c r="B65" s="14" t="s">
        <v>145</v>
      </c>
      <c r="C65" s="15"/>
      <c r="D65" s="15">
        <f t="shared" si="5"/>
        <v>100</v>
      </c>
      <c r="E65" s="15"/>
      <c r="F65" s="15"/>
      <c r="G65" s="15">
        <f t="shared" si="4"/>
        <v>100</v>
      </c>
      <c r="H65" s="15" t="s">
        <v>54</v>
      </c>
      <c r="I65" s="15">
        <v>1</v>
      </c>
      <c r="J65" s="15">
        <v>1000000</v>
      </c>
      <c r="K65" s="26"/>
    </row>
    <row r="66" spans="1:11" ht="25.5" customHeight="1">
      <c r="A66" s="6">
        <v>5.5</v>
      </c>
      <c r="B66" s="14" t="s">
        <v>146</v>
      </c>
      <c r="C66" s="15"/>
      <c r="D66" s="15">
        <f t="shared" si="5"/>
        <v>109.25</v>
      </c>
      <c r="E66" s="15"/>
      <c r="F66" s="15"/>
      <c r="G66" s="15">
        <f t="shared" si="4"/>
        <v>109.25</v>
      </c>
      <c r="H66" s="15" t="s">
        <v>147</v>
      </c>
      <c r="I66" s="15">
        <v>437</v>
      </c>
      <c r="J66" s="15">
        <v>2500</v>
      </c>
      <c r="K66" s="26"/>
    </row>
    <row r="67" spans="1:11" ht="25.5" customHeight="1">
      <c r="A67" s="6">
        <v>5.6</v>
      </c>
      <c r="B67" s="14" t="s">
        <v>148</v>
      </c>
      <c r="C67" s="15"/>
      <c r="D67" s="15">
        <f t="shared" si="5"/>
        <v>57.78</v>
      </c>
      <c r="E67" s="15"/>
      <c r="F67" s="15"/>
      <c r="G67" s="15">
        <f t="shared" si="4"/>
        <v>57.78</v>
      </c>
      <c r="H67" s="15" t="s">
        <v>147</v>
      </c>
      <c r="I67" s="15">
        <v>321</v>
      </c>
      <c r="J67" s="15">
        <v>1800</v>
      </c>
      <c r="K67" s="26"/>
    </row>
    <row r="68" spans="1:11" ht="25.5" customHeight="1">
      <c r="A68" s="6">
        <v>5.7</v>
      </c>
      <c r="B68" s="14" t="s">
        <v>149</v>
      </c>
      <c r="C68" s="15"/>
      <c r="D68" s="15">
        <f t="shared" si="5"/>
        <v>3.6</v>
      </c>
      <c r="E68" s="15"/>
      <c r="F68" s="15"/>
      <c r="G68" s="15">
        <f t="shared" si="4"/>
        <v>3.6</v>
      </c>
      <c r="H68" s="15" t="s">
        <v>147</v>
      </c>
      <c r="I68" s="15">
        <v>36</v>
      </c>
      <c r="J68" s="15">
        <v>1000</v>
      </c>
      <c r="K68" s="26"/>
    </row>
    <row r="69" spans="1:11" ht="25.5" customHeight="1">
      <c r="A69" s="6">
        <v>5.8</v>
      </c>
      <c r="B69" s="14" t="s">
        <v>254</v>
      </c>
      <c r="C69" s="15"/>
      <c r="D69" s="15">
        <f t="shared" si="5"/>
        <v>8.2</v>
      </c>
      <c r="E69" s="15"/>
      <c r="F69" s="15"/>
      <c r="G69" s="15">
        <f t="shared" si="4"/>
        <v>8.2</v>
      </c>
      <c r="H69" s="15" t="s">
        <v>147</v>
      </c>
      <c r="I69" s="15">
        <v>82</v>
      </c>
      <c r="J69" s="15">
        <v>1000</v>
      </c>
      <c r="K69" s="26"/>
    </row>
    <row r="70" spans="1:11" ht="25.5" customHeight="1">
      <c r="A70" s="6">
        <v>5.9</v>
      </c>
      <c r="B70" s="14" t="s">
        <v>150</v>
      </c>
      <c r="C70" s="15"/>
      <c r="D70" s="15">
        <f t="shared" si="5"/>
        <v>0.85</v>
      </c>
      <c r="E70" s="15"/>
      <c r="F70" s="15"/>
      <c r="G70" s="15">
        <f t="shared" si="4"/>
        <v>0.85</v>
      </c>
      <c r="H70" s="15" t="s">
        <v>147</v>
      </c>
      <c r="I70" s="15">
        <v>17</v>
      </c>
      <c r="J70" s="15">
        <v>500</v>
      </c>
      <c r="K70" s="26"/>
    </row>
    <row r="71" spans="1:11" ht="25.5" customHeight="1">
      <c r="A71" s="32">
        <v>5.1</v>
      </c>
      <c r="B71" s="14" t="s">
        <v>151</v>
      </c>
      <c r="C71" s="15"/>
      <c r="D71" s="15">
        <f t="shared" si="5"/>
        <v>3</v>
      </c>
      <c r="E71" s="15"/>
      <c r="F71" s="15"/>
      <c r="G71" s="15">
        <f t="shared" si="4"/>
        <v>3</v>
      </c>
      <c r="H71" s="15" t="s">
        <v>94</v>
      </c>
      <c r="I71" s="15">
        <v>10</v>
      </c>
      <c r="J71" s="15">
        <v>3000</v>
      </c>
      <c r="K71" s="26"/>
    </row>
    <row r="72" spans="1:11" ht="25.5" customHeight="1">
      <c r="A72" s="32">
        <v>5.11</v>
      </c>
      <c r="B72" s="14" t="s">
        <v>152</v>
      </c>
      <c r="C72" s="15"/>
      <c r="D72" s="15">
        <f t="shared" si="5"/>
        <v>8</v>
      </c>
      <c r="E72" s="15"/>
      <c r="F72" s="15"/>
      <c r="G72" s="15">
        <f t="shared" si="4"/>
        <v>8</v>
      </c>
      <c r="H72" s="15" t="s">
        <v>94</v>
      </c>
      <c r="I72" s="15">
        <v>8</v>
      </c>
      <c r="J72" s="15">
        <v>10000</v>
      </c>
      <c r="K72" s="26"/>
    </row>
    <row r="73" spans="1:11" ht="25.5" customHeight="1">
      <c r="A73" s="10" t="s">
        <v>19</v>
      </c>
      <c r="B73" s="33" t="s">
        <v>157</v>
      </c>
      <c r="C73" s="10">
        <f>C74</f>
        <v>532.832931</v>
      </c>
      <c r="D73" s="10"/>
      <c r="E73" s="10"/>
      <c r="F73" s="10"/>
      <c r="G73" s="10">
        <f aca="true" t="shared" si="6" ref="G73:G93">SUM(C73:F73)</f>
        <v>532.832931</v>
      </c>
      <c r="H73" s="10"/>
      <c r="I73" s="10"/>
      <c r="J73" s="10"/>
      <c r="K73" s="15"/>
    </row>
    <row r="74" spans="1:11" ht="25.5" customHeight="1">
      <c r="A74" s="6">
        <v>1</v>
      </c>
      <c r="B74" s="14" t="s">
        <v>158</v>
      </c>
      <c r="C74" s="15">
        <f>SUM(C75:C80)</f>
        <v>532.832931</v>
      </c>
      <c r="D74" s="15"/>
      <c r="E74" s="15"/>
      <c r="F74" s="15"/>
      <c r="G74" s="15">
        <f t="shared" si="6"/>
        <v>532.832931</v>
      </c>
      <c r="H74" s="15" t="s">
        <v>36</v>
      </c>
      <c r="I74" s="15">
        <v>8000</v>
      </c>
      <c r="J74" s="15">
        <f>C74/I74*10000</f>
        <v>666.0411637500001</v>
      </c>
      <c r="K74" s="26"/>
    </row>
    <row r="75" spans="1:11" ht="25.5" customHeight="1">
      <c r="A75" s="6">
        <v>1.1</v>
      </c>
      <c r="B75" s="34" t="s">
        <v>160</v>
      </c>
      <c r="C75" s="15">
        <f aca="true" t="shared" si="7" ref="C75:C81">I75*J75/10000</f>
        <v>19.507899999999996</v>
      </c>
      <c r="D75" s="15"/>
      <c r="E75" s="15"/>
      <c r="F75" s="15"/>
      <c r="G75" s="15">
        <f t="shared" si="6"/>
        <v>19.507899999999996</v>
      </c>
      <c r="H75" s="15" t="s">
        <v>100</v>
      </c>
      <c r="I75" s="15">
        <v>5230</v>
      </c>
      <c r="J75" s="15">
        <v>37.3</v>
      </c>
      <c r="K75" s="26"/>
    </row>
    <row r="76" spans="1:11" ht="39" customHeight="1">
      <c r="A76" s="6">
        <v>1.2</v>
      </c>
      <c r="B76" s="35" t="s">
        <v>162</v>
      </c>
      <c r="C76" s="15">
        <f t="shared" si="7"/>
        <v>107.14998</v>
      </c>
      <c r="D76" s="15"/>
      <c r="E76" s="15"/>
      <c r="F76" s="15"/>
      <c r="G76" s="15">
        <f t="shared" si="6"/>
        <v>107.14998</v>
      </c>
      <c r="H76" s="15" t="s">
        <v>100</v>
      </c>
      <c r="I76" s="15">
        <v>1204</v>
      </c>
      <c r="J76" s="15">
        <v>889.95</v>
      </c>
      <c r="K76" s="26"/>
    </row>
    <row r="77" spans="1:11" ht="25.5" customHeight="1">
      <c r="A77" s="6">
        <v>1.3</v>
      </c>
      <c r="B77" s="35" t="s">
        <v>164</v>
      </c>
      <c r="C77" s="15">
        <f t="shared" si="7"/>
        <v>203.63978</v>
      </c>
      <c r="D77" s="15"/>
      <c r="E77" s="15"/>
      <c r="F77" s="15"/>
      <c r="G77" s="15">
        <f t="shared" si="6"/>
        <v>203.63978</v>
      </c>
      <c r="H77" s="15" t="s">
        <v>165</v>
      </c>
      <c r="I77" s="15">
        <v>265</v>
      </c>
      <c r="J77" s="15">
        <v>7684.52</v>
      </c>
      <c r="K77" s="26"/>
    </row>
    <row r="78" spans="1:11" ht="25.5" customHeight="1">
      <c r="A78" s="6">
        <v>1.4</v>
      </c>
      <c r="B78" s="34" t="s">
        <v>167</v>
      </c>
      <c r="C78" s="15">
        <f t="shared" si="7"/>
        <v>82.34737100000001</v>
      </c>
      <c r="D78" s="15"/>
      <c r="E78" s="15"/>
      <c r="F78" s="15"/>
      <c r="G78" s="15">
        <f t="shared" si="6"/>
        <v>82.34737100000001</v>
      </c>
      <c r="H78" s="15" t="s">
        <v>165</v>
      </c>
      <c r="I78" s="15">
        <v>83</v>
      </c>
      <c r="J78" s="15">
        <v>9921.37</v>
      </c>
      <c r="K78" s="26"/>
    </row>
    <row r="79" spans="1:11" ht="25.5" customHeight="1">
      <c r="A79" s="6">
        <v>1.5</v>
      </c>
      <c r="B79" s="34" t="s">
        <v>169</v>
      </c>
      <c r="C79" s="15">
        <f t="shared" si="7"/>
        <v>116.6629</v>
      </c>
      <c r="D79" s="15"/>
      <c r="E79" s="15"/>
      <c r="F79" s="15"/>
      <c r="G79" s="15">
        <f t="shared" si="6"/>
        <v>116.6629</v>
      </c>
      <c r="H79" s="15" t="s">
        <v>100</v>
      </c>
      <c r="I79" s="15">
        <v>2300</v>
      </c>
      <c r="J79" s="15">
        <v>507.23</v>
      </c>
      <c r="K79" s="26"/>
    </row>
    <row r="80" spans="1:11" ht="25.5" customHeight="1">
      <c r="A80" s="6">
        <v>1.6</v>
      </c>
      <c r="B80" s="35" t="s">
        <v>171</v>
      </c>
      <c r="C80" s="15">
        <f t="shared" si="7"/>
        <v>3.525</v>
      </c>
      <c r="D80" s="15"/>
      <c r="E80" s="15"/>
      <c r="F80" s="15"/>
      <c r="G80" s="15">
        <f t="shared" si="6"/>
        <v>3.525</v>
      </c>
      <c r="H80" s="15" t="s">
        <v>172</v>
      </c>
      <c r="I80" s="15">
        <v>235</v>
      </c>
      <c r="J80" s="15">
        <v>150</v>
      </c>
      <c r="K80" s="26"/>
    </row>
    <row r="81" spans="1:11" ht="25.5" customHeight="1">
      <c r="A81" s="8" t="s">
        <v>21</v>
      </c>
      <c r="B81" s="9" t="s">
        <v>173</v>
      </c>
      <c r="C81" s="10">
        <f t="shared" si="7"/>
        <v>2800</v>
      </c>
      <c r="D81" s="10"/>
      <c r="E81" s="10"/>
      <c r="F81" s="10"/>
      <c r="G81" s="10">
        <f t="shared" si="6"/>
        <v>2800</v>
      </c>
      <c r="H81" s="10" t="s">
        <v>23</v>
      </c>
      <c r="I81" s="10">
        <v>1000</v>
      </c>
      <c r="J81" s="10">
        <v>28000</v>
      </c>
      <c r="K81" s="26"/>
    </row>
    <row r="82" spans="1:11" ht="25.5" customHeight="1">
      <c r="A82" s="8" t="s">
        <v>24</v>
      </c>
      <c r="B82" s="9" t="s">
        <v>174</v>
      </c>
      <c r="C82" s="10">
        <f>C83+C84+C85</f>
        <v>725.9735999999999</v>
      </c>
      <c r="D82" s="10"/>
      <c r="E82" s="10"/>
      <c r="F82" s="10"/>
      <c r="G82" s="10">
        <f t="shared" si="6"/>
        <v>725.9735999999999</v>
      </c>
      <c r="H82" s="10"/>
      <c r="I82" s="10"/>
      <c r="J82" s="10"/>
      <c r="K82" s="26"/>
    </row>
    <row r="83" spans="1:11" ht="25.5" customHeight="1">
      <c r="A83" s="6">
        <v>1</v>
      </c>
      <c r="B83" s="35" t="s">
        <v>118</v>
      </c>
      <c r="C83" s="15">
        <f>I83*J83/10000</f>
        <v>14.094</v>
      </c>
      <c r="D83" s="15"/>
      <c r="E83" s="15"/>
      <c r="F83" s="15"/>
      <c r="G83" s="15">
        <f t="shared" si="6"/>
        <v>14.094</v>
      </c>
      <c r="H83" s="15" t="s">
        <v>100</v>
      </c>
      <c r="I83" s="15">
        <v>18792</v>
      </c>
      <c r="J83" s="15">
        <v>7.5</v>
      </c>
      <c r="K83" s="26"/>
    </row>
    <row r="84" spans="1:11" ht="25.5" customHeight="1">
      <c r="A84" s="6">
        <v>2</v>
      </c>
      <c r="B84" s="35" t="s">
        <v>116</v>
      </c>
      <c r="C84" s="15">
        <f>I84*J84/10000</f>
        <v>469.8</v>
      </c>
      <c r="D84" s="15"/>
      <c r="E84" s="15"/>
      <c r="F84" s="15"/>
      <c r="G84" s="15">
        <f t="shared" si="6"/>
        <v>469.8</v>
      </c>
      <c r="H84" s="15" t="s">
        <v>100</v>
      </c>
      <c r="I84" s="15">
        <v>156600</v>
      </c>
      <c r="J84" s="15">
        <v>30</v>
      </c>
      <c r="K84" s="26"/>
    </row>
    <row r="85" spans="1:11" ht="25.5" customHeight="1">
      <c r="A85" s="6">
        <v>3</v>
      </c>
      <c r="B85" s="35" t="s">
        <v>194</v>
      </c>
      <c r="C85" s="15">
        <f>I85*J85/10000</f>
        <v>242.07959999999994</v>
      </c>
      <c r="D85" s="15"/>
      <c r="E85" s="15"/>
      <c r="F85" s="15"/>
      <c r="G85" s="15">
        <f t="shared" si="6"/>
        <v>242.07959999999994</v>
      </c>
      <c r="H85" s="15" t="s">
        <v>100</v>
      </c>
      <c r="I85" s="15">
        <f>I86*0.6</f>
        <v>69165.59999999999</v>
      </c>
      <c r="J85" s="15">
        <v>35</v>
      </c>
      <c r="K85" s="26"/>
    </row>
    <row r="86" spans="1:11" ht="25.5" customHeight="1">
      <c r="A86" s="8" t="s">
        <v>300</v>
      </c>
      <c r="B86" s="9" t="s">
        <v>121</v>
      </c>
      <c r="C86" s="10">
        <f>I86*J86/10000</f>
        <v>230.552</v>
      </c>
      <c r="D86" s="10"/>
      <c r="E86" s="10"/>
      <c r="F86" s="10"/>
      <c r="G86" s="10">
        <f t="shared" si="6"/>
        <v>230.552</v>
      </c>
      <c r="H86" s="10" t="s">
        <v>36</v>
      </c>
      <c r="I86" s="10">
        <v>115276</v>
      </c>
      <c r="J86" s="10">
        <v>20</v>
      </c>
      <c r="K86" s="26"/>
    </row>
    <row r="87" spans="1:11" ht="25.5" customHeight="1">
      <c r="A87" s="8" t="s">
        <v>301</v>
      </c>
      <c r="B87" s="9" t="s">
        <v>175</v>
      </c>
      <c r="C87" s="10">
        <f>C88+C89+C90+C91+C92+C93</f>
        <v>787.5369999999999</v>
      </c>
      <c r="D87" s="10"/>
      <c r="E87" s="10"/>
      <c r="F87" s="10"/>
      <c r="G87" s="10">
        <f t="shared" si="6"/>
        <v>787.5369999999999</v>
      </c>
      <c r="H87" s="10"/>
      <c r="I87" s="10"/>
      <c r="J87" s="10"/>
      <c r="K87" s="46"/>
    </row>
    <row r="88" spans="1:11" ht="25.5" customHeight="1">
      <c r="A88" s="21">
        <v>1</v>
      </c>
      <c r="B88" s="34" t="s">
        <v>230</v>
      </c>
      <c r="C88" s="15">
        <f aca="true" t="shared" si="8" ref="C88:C93">I88*J88/10000</f>
        <v>51.4395</v>
      </c>
      <c r="D88" s="15"/>
      <c r="E88" s="15"/>
      <c r="F88" s="15"/>
      <c r="G88" s="15">
        <f t="shared" si="6"/>
        <v>51.4395</v>
      </c>
      <c r="H88" s="15" t="s">
        <v>36</v>
      </c>
      <c r="I88" s="15">
        <v>14697</v>
      </c>
      <c r="J88" s="15">
        <v>35</v>
      </c>
      <c r="K88" s="46"/>
    </row>
    <row r="89" spans="1:11" ht="25.5" customHeight="1">
      <c r="A89" s="21">
        <v>2</v>
      </c>
      <c r="B89" s="35" t="s">
        <v>177</v>
      </c>
      <c r="C89" s="15">
        <f t="shared" si="8"/>
        <v>662.5775</v>
      </c>
      <c r="D89" s="15"/>
      <c r="E89" s="15"/>
      <c r="F89" s="15"/>
      <c r="G89" s="15">
        <f t="shared" si="6"/>
        <v>662.5775</v>
      </c>
      <c r="H89" s="15" t="s">
        <v>36</v>
      </c>
      <c r="I89" s="15">
        <v>69745</v>
      </c>
      <c r="J89" s="15">
        <v>95</v>
      </c>
      <c r="K89" s="46"/>
    </row>
    <row r="90" spans="1:11" ht="25.5" customHeight="1">
      <c r="A90" s="21">
        <v>3</v>
      </c>
      <c r="B90" s="35" t="s">
        <v>231</v>
      </c>
      <c r="C90" s="15">
        <f t="shared" si="8"/>
        <v>4.51</v>
      </c>
      <c r="D90" s="15"/>
      <c r="E90" s="15"/>
      <c r="F90" s="15"/>
      <c r="G90" s="15">
        <f t="shared" si="6"/>
        <v>4.51</v>
      </c>
      <c r="H90" s="15" t="s">
        <v>36</v>
      </c>
      <c r="I90" s="15">
        <v>451</v>
      </c>
      <c r="J90" s="15">
        <v>100</v>
      </c>
      <c r="K90" s="47"/>
    </row>
    <row r="91" spans="1:11" ht="25.5" customHeight="1">
      <c r="A91" s="21">
        <v>4</v>
      </c>
      <c r="B91" s="35" t="s">
        <v>232</v>
      </c>
      <c r="C91" s="15">
        <f t="shared" si="8"/>
        <v>6.14</v>
      </c>
      <c r="D91" s="15"/>
      <c r="E91" s="15"/>
      <c r="F91" s="15"/>
      <c r="G91" s="15">
        <f t="shared" si="6"/>
        <v>6.14</v>
      </c>
      <c r="H91" s="15" t="s">
        <v>36</v>
      </c>
      <c r="I91" s="15">
        <v>614</v>
      </c>
      <c r="J91" s="15">
        <v>100</v>
      </c>
      <c r="K91" s="47"/>
    </row>
    <row r="92" spans="1:11" ht="25.5" customHeight="1">
      <c r="A92" s="21">
        <v>5</v>
      </c>
      <c r="B92" s="35" t="s">
        <v>233</v>
      </c>
      <c r="C92" s="15">
        <f t="shared" si="8"/>
        <v>54.35</v>
      </c>
      <c r="D92" s="15"/>
      <c r="E92" s="15"/>
      <c r="F92" s="15"/>
      <c r="G92" s="15">
        <f t="shared" si="6"/>
        <v>54.35</v>
      </c>
      <c r="H92" s="15" t="s">
        <v>36</v>
      </c>
      <c r="I92" s="15">
        <v>5435</v>
      </c>
      <c r="J92" s="15">
        <v>100</v>
      </c>
      <c r="K92" s="47"/>
    </row>
    <row r="93" spans="1:11" ht="25.5" customHeight="1">
      <c r="A93" s="21">
        <v>6</v>
      </c>
      <c r="B93" s="35" t="s">
        <v>234</v>
      </c>
      <c r="C93" s="15">
        <f t="shared" si="8"/>
        <v>8.52</v>
      </c>
      <c r="D93" s="15"/>
      <c r="E93" s="15"/>
      <c r="F93" s="15"/>
      <c r="G93" s="15">
        <f t="shared" si="6"/>
        <v>8.52</v>
      </c>
      <c r="H93" s="15" t="s">
        <v>94</v>
      </c>
      <c r="I93" s="15">
        <v>284</v>
      </c>
      <c r="J93" s="15">
        <v>300</v>
      </c>
      <c r="K93" s="47"/>
    </row>
    <row r="94" spans="1:11" ht="25.5" customHeight="1">
      <c r="A94" s="29"/>
      <c r="B94" s="36"/>
      <c r="C94" s="29"/>
      <c r="D94" s="29"/>
      <c r="E94" s="29"/>
      <c r="F94" s="29"/>
      <c r="G94" s="29"/>
      <c r="H94" s="29"/>
      <c r="I94" s="29"/>
      <c r="J94" s="29"/>
      <c r="K94" s="29"/>
    </row>
    <row r="95" spans="1:11" ht="25.5" customHeight="1">
      <c r="A95" s="6" t="s">
        <v>60</v>
      </c>
      <c r="B95" s="35" t="s">
        <v>10</v>
      </c>
      <c r="C95" s="37"/>
      <c r="D95" s="37"/>
      <c r="E95" s="37"/>
      <c r="F95" s="15">
        <f>SUM(F96:F104)</f>
        <v>1639.3394637464203</v>
      </c>
      <c r="G95" s="15">
        <f aca="true" t="shared" si="9" ref="G95:G104">SUM(C95:F95)</f>
        <v>1639.3394637464203</v>
      </c>
      <c r="H95" s="15"/>
      <c r="I95" s="48"/>
      <c r="J95" s="48"/>
      <c r="K95" s="26">
        <f>G95/G110*100</f>
        <v>6.840510644681956</v>
      </c>
    </row>
    <row r="96" spans="1:11" ht="25.5" customHeight="1">
      <c r="A96" s="24">
        <v>1</v>
      </c>
      <c r="B96" s="35" t="s">
        <v>61</v>
      </c>
      <c r="C96" s="6"/>
      <c r="D96" s="6"/>
      <c r="E96" s="6"/>
      <c r="F96" s="15">
        <f>(140+(G5-10000)*0.01)</f>
        <v>251.84624431000003</v>
      </c>
      <c r="G96" s="15">
        <f t="shared" si="9"/>
        <v>251.84624431000003</v>
      </c>
      <c r="H96" s="15"/>
      <c r="I96" s="49"/>
      <c r="J96" s="50"/>
      <c r="K96" s="29"/>
    </row>
    <row r="97" spans="1:11" ht="25.5" customHeight="1">
      <c r="A97" s="24">
        <v>2</v>
      </c>
      <c r="B97" s="35" t="s">
        <v>63</v>
      </c>
      <c r="C97" s="38"/>
      <c r="D97" s="38"/>
      <c r="E97" s="38"/>
      <c r="F97" s="15">
        <f>((393.4*(40000-20000)+(G5-20000)*(708.2-393.4))/(40000-20000))</f>
        <v>412.04598854394004</v>
      </c>
      <c r="G97" s="15">
        <f t="shared" si="9"/>
        <v>412.04598854394004</v>
      </c>
      <c r="H97" s="15"/>
      <c r="I97" s="49"/>
      <c r="J97" s="51"/>
      <c r="K97" s="29"/>
    </row>
    <row r="98" spans="1:11" ht="25.5" customHeight="1">
      <c r="A98" s="24">
        <v>3</v>
      </c>
      <c r="B98" s="34" t="s">
        <v>255</v>
      </c>
      <c r="C98" s="6"/>
      <c r="D98" s="6"/>
      <c r="E98" s="6"/>
      <c r="F98" s="15">
        <f>G5*0.005</f>
        <v>105.92312215500002</v>
      </c>
      <c r="G98" s="15">
        <f t="shared" si="9"/>
        <v>105.92312215500002</v>
      </c>
      <c r="H98" s="15"/>
      <c r="I98" s="42"/>
      <c r="J98" s="42"/>
      <c r="K98" s="29"/>
    </row>
    <row r="99" spans="1:11" ht="25.5" customHeight="1">
      <c r="A99" s="24">
        <v>4</v>
      </c>
      <c r="B99" s="35" t="s">
        <v>256</v>
      </c>
      <c r="C99" s="6"/>
      <c r="D99" s="6"/>
      <c r="E99" s="6"/>
      <c r="F99" s="15">
        <f>G5*0.005</f>
        <v>105.92312215500002</v>
      </c>
      <c r="G99" s="15">
        <f t="shared" si="9"/>
        <v>105.92312215500002</v>
      </c>
      <c r="H99" s="15"/>
      <c r="I99" s="42"/>
      <c r="J99" s="42"/>
      <c r="K99" s="29"/>
    </row>
    <row r="100" spans="1:11" ht="25.5" customHeight="1">
      <c r="A100" s="24">
        <v>5</v>
      </c>
      <c r="B100" s="35" t="s">
        <v>257</v>
      </c>
      <c r="C100" s="6"/>
      <c r="D100" s="6"/>
      <c r="E100" s="6"/>
      <c r="F100" s="15">
        <f>(566.8*(40000-20000)+(G5-20000)*(1054-566.8))/(40000-20000)</f>
        <v>595.65745113916</v>
      </c>
      <c r="G100" s="15">
        <f t="shared" si="9"/>
        <v>595.65745113916</v>
      </c>
      <c r="H100" s="15"/>
      <c r="I100" s="42"/>
      <c r="J100" s="42"/>
      <c r="K100" s="29"/>
    </row>
    <row r="101" spans="1:11" ht="25.5" customHeight="1">
      <c r="A101" s="24">
        <v>6</v>
      </c>
      <c r="B101" s="35" t="s">
        <v>68</v>
      </c>
      <c r="C101" s="6"/>
      <c r="D101" s="6"/>
      <c r="E101" s="6"/>
      <c r="F101" s="15">
        <f>(F100+F99)*0.065</f>
        <v>45.6027372641204</v>
      </c>
      <c r="G101" s="15">
        <f t="shared" si="9"/>
        <v>45.6027372641204</v>
      </c>
      <c r="H101" s="15"/>
      <c r="I101" s="42"/>
      <c r="J101" s="42"/>
      <c r="K101" s="52"/>
    </row>
    <row r="102" spans="1:11" ht="25.5" customHeight="1">
      <c r="A102" s="24">
        <v>7</v>
      </c>
      <c r="B102" s="35" t="s">
        <v>69</v>
      </c>
      <c r="C102" s="38"/>
      <c r="D102" s="38"/>
      <c r="E102" s="38"/>
      <c r="F102" s="15">
        <f>(G5-10000)*0.0005+2.75+2.8+1+14+10+1</f>
        <v>37.1423122155</v>
      </c>
      <c r="G102" s="15">
        <f t="shared" si="9"/>
        <v>37.1423122155</v>
      </c>
      <c r="H102" s="15"/>
      <c r="I102" s="42"/>
      <c r="J102" s="42"/>
      <c r="K102" s="52"/>
    </row>
    <row r="103" spans="1:11" ht="25.5" customHeight="1">
      <c r="A103" s="24">
        <v>8</v>
      </c>
      <c r="B103" s="39" t="s">
        <v>258</v>
      </c>
      <c r="C103" s="35"/>
      <c r="D103" s="35"/>
      <c r="E103" s="35"/>
      <c r="F103" s="15">
        <f>7.5/3000*G5</f>
        <v>52.96156107750001</v>
      </c>
      <c r="G103" s="15">
        <f t="shared" si="9"/>
        <v>52.96156107750001</v>
      </c>
      <c r="H103" s="15"/>
      <c r="I103" s="42"/>
      <c r="J103" s="42"/>
      <c r="K103" s="52"/>
    </row>
    <row r="104" spans="1:11" ht="25.5" customHeight="1">
      <c r="A104" s="24">
        <v>9</v>
      </c>
      <c r="B104" s="35" t="s">
        <v>259</v>
      </c>
      <c r="C104" s="35"/>
      <c r="D104" s="35"/>
      <c r="E104" s="35"/>
      <c r="F104" s="15">
        <f>(30*(50000-10000)+(G5-10000)*(38-30))/(50000-10000)</f>
        <v>32.2369248862</v>
      </c>
      <c r="G104" s="15">
        <f t="shared" si="9"/>
        <v>32.2369248862</v>
      </c>
      <c r="H104" s="15"/>
      <c r="I104" s="42"/>
      <c r="J104" s="42"/>
      <c r="K104" s="35"/>
    </row>
    <row r="105" spans="1:11" ht="25.5" customHeight="1">
      <c r="A105" s="24"/>
      <c r="B105" s="35"/>
      <c r="C105" s="40"/>
      <c r="D105" s="29"/>
      <c r="E105" s="41"/>
      <c r="F105" s="22"/>
      <c r="G105" s="15"/>
      <c r="H105" s="15"/>
      <c r="I105" s="42"/>
      <c r="J105" s="42"/>
      <c r="K105" s="35"/>
    </row>
    <row r="106" spans="1:11" ht="25.5" customHeight="1">
      <c r="A106" s="24"/>
      <c r="B106" s="35"/>
      <c r="C106" s="40"/>
      <c r="D106" s="29"/>
      <c r="E106" s="41"/>
      <c r="F106" s="22"/>
      <c r="G106" s="15"/>
      <c r="H106" s="15"/>
      <c r="I106" s="42"/>
      <c r="J106" s="42"/>
      <c r="K106" s="35"/>
    </row>
    <row r="107" spans="1:11" ht="25.5" customHeight="1">
      <c r="A107" s="35" t="s">
        <v>27</v>
      </c>
      <c r="B107" s="35" t="s">
        <v>260</v>
      </c>
      <c r="C107" s="40"/>
      <c r="D107" s="29"/>
      <c r="E107" s="41"/>
      <c r="F107" s="22">
        <f>(G5+G95)*0.05</f>
        <v>1141.1981947373213</v>
      </c>
      <c r="G107" s="15">
        <f>F107</f>
        <v>1141.1981947373213</v>
      </c>
      <c r="H107" s="15"/>
      <c r="I107" s="42"/>
      <c r="J107" s="42"/>
      <c r="K107" s="26">
        <f>G107/G110*100</f>
        <v>4.761904761904763</v>
      </c>
    </row>
    <row r="108" spans="1:11" ht="25.5" customHeight="1">
      <c r="A108" s="35"/>
      <c r="B108" s="35"/>
      <c r="C108" s="40"/>
      <c r="D108" s="29"/>
      <c r="E108" s="41"/>
      <c r="F108" s="42"/>
      <c r="G108" s="42"/>
      <c r="H108" s="42"/>
      <c r="I108" s="42"/>
      <c r="J108" s="42"/>
      <c r="K108" s="35"/>
    </row>
    <row r="109" spans="1:11" ht="25.5" customHeight="1">
      <c r="A109" s="6"/>
      <c r="B109" s="35"/>
      <c r="C109" s="6"/>
      <c r="D109" s="6"/>
      <c r="E109" s="6"/>
      <c r="F109" s="42"/>
      <c r="G109" s="15"/>
      <c r="H109" s="43"/>
      <c r="I109" s="49"/>
      <c r="J109" s="19"/>
      <c r="K109" s="52"/>
    </row>
    <row r="110" spans="1:11" ht="25.5" customHeight="1">
      <c r="A110" s="44"/>
      <c r="B110" s="45" t="s">
        <v>30</v>
      </c>
      <c r="C110" s="15">
        <f>C5+C95+C107</f>
        <v>20720.244431000003</v>
      </c>
      <c r="D110" s="15"/>
      <c r="E110" s="15"/>
      <c r="F110" s="15">
        <f>F5+F95+F107</f>
        <v>2780.5376584837413</v>
      </c>
      <c r="G110" s="15">
        <f>G5+G95+G107</f>
        <v>23965.162089483743</v>
      </c>
      <c r="H110" s="15"/>
      <c r="I110" s="15"/>
      <c r="J110" s="15"/>
      <c r="K110" s="21">
        <f>K5+K95+K107</f>
        <v>100</v>
      </c>
    </row>
  </sheetData>
  <sheetProtection/>
  <mergeCells count="10">
    <mergeCell ref="A1:K1"/>
    <mergeCell ref="A2:K2"/>
    <mergeCell ref="C3:G3"/>
    <mergeCell ref="H3:J3"/>
    <mergeCell ref="M7:R7"/>
    <mergeCell ref="M23:R23"/>
    <mergeCell ref="M42:R42"/>
    <mergeCell ref="A3:A4"/>
    <mergeCell ref="B3:B4"/>
    <mergeCell ref="K3:K4"/>
  </mergeCells>
  <printOptions/>
  <pageMargins left="0.31" right="0.2" top="0.49" bottom="0.59" header="0.33" footer="0.4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0"/>
  <sheetViews>
    <sheetView view="pageBreakPreview" zoomScaleSheetLayoutView="100" workbookViewId="0" topLeftCell="A79">
      <selection activeCell="B75" sqref="B75"/>
    </sheetView>
  </sheetViews>
  <sheetFormatPr defaultColWidth="9.00390625" defaultRowHeight="14.25"/>
  <cols>
    <col min="1" max="1" width="6.00390625" style="0" customWidth="1"/>
    <col min="2" max="2" width="14.375" style="1" customWidth="1"/>
    <col min="3" max="3" width="8.625" style="0" customWidth="1"/>
    <col min="4" max="4" width="7.375" style="0" customWidth="1"/>
    <col min="5" max="5" width="7.125" style="0" customWidth="1"/>
    <col min="6" max="6" width="7.375" style="0" customWidth="1"/>
    <col min="7" max="7" width="8.375" style="0" customWidth="1"/>
    <col min="8" max="8" width="4.00390625" style="0" customWidth="1"/>
    <col min="9" max="9" width="9.25390625" style="0" customWidth="1"/>
    <col min="10" max="10" width="10.50390625" style="0" customWidth="1"/>
    <col min="11" max="11" width="5.50390625" style="0" customWidth="1"/>
    <col min="18" max="18" width="29.125" style="0" customWidth="1"/>
  </cols>
  <sheetData>
    <row r="1" spans="1:11" ht="24" customHeight="1">
      <c r="A1" s="2" t="s">
        <v>73</v>
      </c>
      <c r="B1" s="3"/>
      <c r="C1" s="2"/>
      <c r="D1" s="2"/>
      <c r="E1" s="2"/>
      <c r="F1" s="2"/>
      <c r="G1" s="2"/>
      <c r="H1" s="2"/>
      <c r="I1" s="2"/>
      <c r="J1" s="2"/>
      <c r="K1" s="2"/>
    </row>
    <row r="2" spans="1:11" ht="21" customHeight="1">
      <c r="A2" s="4" t="s">
        <v>111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" customHeight="1">
      <c r="A3" s="5" t="s">
        <v>2</v>
      </c>
      <c r="B3" s="6" t="s">
        <v>3</v>
      </c>
      <c r="C3" s="7" t="s">
        <v>75</v>
      </c>
      <c r="D3" s="7"/>
      <c r="E3" s="7"/>
      <c r="F3" s="7"/>
      <c r="G3" s="7"/>
      <c r="H3" s="7" t="s">
        <v>5</v>
      </c>
      <c r="I3" s="7"/>
      <c r="J3" s="7"/>
      <c r="K3" s="24" t="s">
        <v>6</v>
      </c>
    </row>
    <row r="4" spans="1:11" ht="24" customHeight="1">
      <c r="A4" s="7"/>
      <c r="B4" s="6"/>
      <c r="C4" s="6" t="s">
        <v>40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34</v>
      </c>
      <c r="K4" s="6"/>
    </row>
    <row r="5" spans="1:11" ht="25.5" customHeight="1">
      <c r="A5" s="8" t="s">
        <v>14</v>
      </c>
      <c r="B5" s="9" t="s">
        <v>15</v>
      </c>
      <c r="C5" s="10">
        <f>C6+C73+C81+C87+C82+C86</f>
        <v>20720.244431000003</v>
      </c>
      <c r="D5" s="10">
        <f>D6+D73+D81+D87</f>
        <v>437.38000000000005</v>
      </c>
      <c r="E5" s="10">
        <f>E6+E73+E81+E87</f>
        <v>27</v>
      </c>
      <c r="F5" s="10"/>
      <c r="G5" s="11">
        <f aca="true" t="shared" si="0" ref="G5:G61">SUM(C5:F5)</f>
        <v>21184.624431000004</v>
      </c>
      <c r="H5" s="12"/>
      <c r="I5" s="21"/>
      <c r="J5" s="25"/>
      <c r="K5" s="26">
        <f>G5/G110*100</f>
        <v>88.39758459341328</v>
      </c>
    </row>
    <row r="6" spans="1:11" ht="25.5" customHeight="1">
      <c r="A6" s="8" t="s">
        <v>112</v>
      </c>
      <c r="B6" s="9" t="s">
        <v>261</v>
      </c>
      <c r="C6" s="10">
        <f>C7+C22+C40+C56+C61</f>
        <v>15643.348899999999</v>
      </c>
      <c r="D6" s="10">
        <f>D7+D22+D40+D56+D61</f>
        <v>437.38000000000005</v>
      </c>
      <c r="E6" s="10">
        <f>E7+E22+E40+E56+E61</f>
        <v>27</v>
      </c>
      <c r="F6" s="10"/>
      <c r="G6" s="11">
        <f t="shared" si="0"/>
        <v>16107.728899999998</v>
      </c>
      <c r="H6" s="12"/>
      <c r="I6" s="21"/>
      <c r="J6" s="25"/>
      <c r="K6" s="26"/>
    </row>
    <row r="7" spans="1:18" ht="25.5" customHeight="1">
      <c r="A7" s="13">
        <v>1</v>
      </c>
      <c r="B7" s="14" t="s">
        <v>115</v>
      </c>
      <c r="C7" s="15">
        <f>SUM(C8+C9+C10+C14+C15+C16+C17+C18+C19+C20+C21)</f>
        <v>2131.3799999999997</v>
      </c>
      <c r="D7" s="15"/>
      <c r="E7" s="15"/>
      <c r="F7" s="15"/>
      <c r="G7" s="15">
        <f t="shared" si="0"/>
        <v>2131.3799999999997</v>
      </c>
      <c r="H7" s="15"/>
      <c r="I7" s="15"/>
      <c r="J7" s="15"/>
      <c r="K7" s="26"/>
      <c r="M7" s="27" t="s">
        <v>115</v>
      </c>
      <c r="N7" s="27"/>
      <c r="O7" s="27"/>
      <c r="P7" s="27"/>
      <c r="Q7" s="27"/>
      <c r="R7" s="27"/>
    </row>
    <row r="8" spans="1:18" ht="25.5" customHeight="1">
      <c r="A8" s="16">
        <v>1.1</v>
      </c>
      <c r="B8" s="14" t="s">
        <v>117</v>
      </c>
      <c r="C8" s="15">
        <f aca="true" t="shared" si="1" ref="C8:C21">I8*J8/10000</f>
        <v>84.204</v>
      </c>
      <c r="D8" s="15"/>
      <c r="E8" s="15"/>
      <c r="F8" s="15"/>
      <c r="G8" s="15">
        <f t="shared" si="0"/>
        <v>84.204</v>
      </c>
      <c r="H8" s="15" t="s">
        <v>36</v>
      </c>
      <c r="I8" s="15">
        <v>2339</v>
      </c>
      <c r="J8" s="15">
        <v>360</v>
      </c>
      <c r="K8" s="26"/>
      <c r="M8" s="28"/>
      <c r="N8" s="28" t="s">
        <v>114</v>
      </c>
      <c r="O8" s="28" t="s">
        <v>182</v>
      </c>
      <c r="P8" s="28" t="s">
        <v>12</v>
      </c>
      <c r="Q8" s="28" t="s">
        <v>13</v>
      </c>
      <c r="R8" s="28" t="s">
        <v>183</v>
      </c>
    </row>
    <row r="9" spans="1:18" ht="25.5" customHeight="1">
      <c r="A9" s="17">
        <v>1.2</v>
      </c>
      <c r="B9" s="14" t="s">
        <v>120</v>
      </c>
      <c r="C9" s="15">
        <f t="shared" si="1"/>
        <v>20.12</v>
      </c>
      <c r="D9" s="15"/>
      <c r="E9" s="15"/>
      <c r="F9" s="15"/>
      <c r="G9" s="15">
        <f t="shared" si="0"/>
        <v>20.12</v>
      </c>
      <c r="H9" s="15" t="s">
        <v>36</v>
      </c>
      <c r="I9" s="15">
        <v>503</v>
      </c>
      <c r="J9" s="15">
        <v>400</v>
      </c>
      <c r="K9" s="26"/>
      <c r="M9" s="28">
        <v>1</v>
      </c>
      <c r="N9" s="28" t="s">
        <v>185</v>
      </c>
      <c r="O9" s="28" t="s">
        <v>262</v>
      </c>
      <c r="P9" s="28" t="s">
        <v>36</v>
      </c>
      <c r="Q9" s="28">
        <v>2339</v>
      </c>
      <c r="R9" s="28"/>
    </row>
    <row r="10" spans="1:18" ht="25.5" customHeight="1">
      <c r="A10" s="17">
        <v>1.3</v>
      </c>
      <c r="B10" s="14" t="s">
        <v>263</v>
      </c>
      <c r="C10" s="15">
        <f>C11+C12+C13</f>
        <v>505.32</v>
      </c>
      <c r="D10" s="15"/>
      <c r="E10" s="15"/>
      <c r="F10" s="15"/>
      <c r="G10" s="15">
        <f t="shared" si="0"/>
        <v>505.32</v>
      </c>
      <c r="H10" s="15"/>
      <c r="I10" s="15"/>
      <c r="J10" s="15"/>
      <c r="K10" s="26"/>
      <c r="M10" s="28">
        <v>2</v>
      </c>
      <c r="N10" s="28"/>
      <c r="O10" s="28" t="s">
        <v>264</v>
      </c>
      <c r="P10" s="28"/>
      <c r="Q10" s="28"/>
      <c r="R10" s="28"/>
    </row>
    <row r="11" spans="1:18" ht="25.5" customHeight="1">
      <c r="A11" s="17" t="s">
        <v>265</v>
      </c>
      <c r="B11" s="15" t="s">
        <v>207</v>
      </c>
      <c r="C11" s="15">
        <f t="shared" si="1"/>
        <v>142.24</v>
      </c>
      <c r="D11" s="15"/>
      <c r="E11" s="15"/>
      <c r="F11" s="15"/>
      <c r="G11" s="15">
        <f t="shared" si="0"/>
        <v>142.24</v>
      </c>
      <c r="H11" s="15" t="s">
        <v>36</v>
      </c>
      <c r="I11" s="15">
        <v>889</v>
      </c>
      <c r="J11" s="15">
        <v>1600</v>
      </c>
      <c r="K11" s="26"/>
      <c r="M11" s="28">
        <v>3</v>
      </c>
      <c r="N11" s="28" t="s">
        <v>177</v>
      </c>
      <c r="O11" s="28" t="s">
        <v>85</v>
      </c>
      <c r="P11" s="28" t="s">
        <v>36</v>
      </c>
      <c r="Q11" s="28">
        <v>503</v>
      </c>
      <c r="R11" s="28"/>
    </row>
    <row r="12" spans="1:18" ht="25.5" customHeight="1">
      <c r="A12" s="16" t="s">
        <v>266</v>
      </c>
      <c r="B12" s="14" t="s">
        <v>120</v>
      </c>
      <c r="C12" s="15">
        <f t="shared" si="1"/>
        <v>63.08</v>
      </c>
      <c r="D12" s="15"/>
      <c r="E12" s="15"/>
      <c r="F12" s="15"/>
      <c r="G12" s="15">
        <f t="shared" si="0"/>
        <v>63.08</v>
      </c>
      <c r="H12" s="15" t="s">
        <v>36</v>
      </c>
      <c r="I12" s="15">
        <v>1577</v>
      </c>
      <c r="J12" s="15">
        <f>J9</f>
        <v>400</v>
      </c>
      <c r="K12" s="26"/>
      <c r="M12" s="28">
        <v>4</v>
      </c>
      <c r="N12" s="28"/>
      <c r="O12" s="28" t="s">
        <v>263</v>
      </c>
      <c r="P12" s="28"/>
      <c r="Q12" s="28"/>
      <c r="R12" s="28"/>
    </row>
    <row r="13" spans="1:18" ht="25.5" customHeight="1">
      <c r="A13" s="16" t="s">
        <v>267</v>
      </c>
      <c r="B13" s="14" t="s">
        <v>268</v>
      </c>
      <c r="C13" s="15">
        <f t="shared" si="1"/>
        <v>300</v>
      </c>
      <c r="D13" s="15"/>
      <c r="E13" s="15"/>
      <c r="F13" s="15"/>
      <c r="G13" s="15">
        <f t="shared" si="0"/>
        <v>300</v>
      </c>
      <c r="H13" s="15" t="s">
        <v>94</v>
      </c>
      <c r="I13" s="15">
        <v>6</v>
      </c>
      <c r="J13" s="15">
        <v>500000</v>
      </c>
      <c r="K13" s="29"/>
      <c r="M13" s="28">
        <v>5</v>
      </c>
      <c r="N13" s="28" t="s">
        <v>219</v>
      </c>
      <c r="O13" s="28" t="s">
        <v>220</v>
      </c>
      <c r="P13" s="28" t="s">
        <v>36</v>
      </c>
      <c r="Q13" s="28">
        <v>889</v>
      </c>
      <c r="R13" s="28"/>
    </row>
    <row r="14" spans="1:18" ht="25.5" customHeight="1">
      <c r="A14" s="6">
        <v>1.4</v>
      </c>
      <c r="B14" s="14" t="s">
        <v>129</v>
      </c>
      <c r="C14" s="15">
        <f t="shared" si="1"/>
        <v>340.8</v>
      </c>
      <c r="D14" s="15"/>
      <c r="E14" s="15"/>
      <c r="F14" s="15"/>
      <c r="G14" s="15">
        <f t="shared" si="0"/>
        <v>340.8</v>
      </c>
      <c r="H14" s="15" t="s">
        <v>36</v>
      </c>
      <c r="I14" s="15">
        <v>1136</v>
      </c>
      <c r="J14" s="15">
        <v>3000</v>
      </c>
      <c r="K14" s="29"/>
      <c r="M14" s="28">
        <v>6</v>
      </c>
      <c r="N14" s="28" t="s">
        <v>177</v>
      </c>
      <c r="O14" s="28" t="s">
        <v>85</v>
      </c>
      <c r="P14" s="28" t="s">
        <v>36</v>
      </c>
      <c r="Q14" s="28">
        <v>1577</v>
      </c>
      <c r="R14" s="28"/>
    </row>
    <row r="15" spans="1:18" ht="25.5" customHeight="1">
      <c r="A15" s="6">
        <v>1.5</v>
      </c>
      <c r="B15" s="14" t="s">
        <v>269</v>
      </c>
      <c r="C15" s="15">
        <f t="shared" si="1"/>
        <v>1020.6</v>
      </c>
      <c r="D15" s="15"/>
      <c r="E15" s="15"/>
      <c r="F15" s="15"/>
      <c r="G15" s="15">
        <f t="shared" si="0"/>
        <v>1020.6</v>
      </c>
      <c r="H15" s="15" t="s">
        <v>36</v>
      </c>
      <c r="I15" s="15">
        <v>1134</v>
      </c>
      <c r="J15" s="15">
        <v>9000</v>
      </c>
      <c r="K15" s="29"/>
      <c r="M15" s="28">
        <v>7</v>
      </c>
      <c r="N15" s="28" t="s">
        <v>268</v>
      </c>
      <c r="O15" s="28"/>
      <c r="P15" s="28" t="s">
        <v>94</v>
      </c>
      <c r="Q15" s="28">
        <v>6</v>
      </c>
      <c r="R15" s="28"/>
    </row>
    <row r="16" spans="1:18" ht="25.5" customHeight="1">
      <c r="A16" s="6">
        <v>1.6</v>
      </c>
      <c r="B16" s="14" t="s">
        <v>132</v>
      </c>
      <c r="C16" s="15">
        <f t="shared" si="1"/>
        <v>31.84</v>
      </c>
      <c r="D16" s="15"/>
      <c r="E16" s="15"/>
      <c r="F16" s="15"/>
      <c r="G16" s="15">
        <f t="shared" si="0"/>
        <v>31.84</v>
      </c>
      <c r="H16" s="15" t="s">
        <v>36</v>
      </c>
      <c r="I16" s="15">
        <v>199</v>
      </c>
      <c r="J16" s="15">
        <f>J11</f>
        <v>1600</v>
      </c>
      <c r="K16" s="29"/>
      <c r="M16" s="28">
        <v>8</v>
      </c>
      <c r="N16" s="28"/>
      <c r="O16" s="28"/>
      <c r="P16" s="28"/>
      <c r="Q16" s="28"/>
      <c r="R16" s="28"/>
    </row>
    <row r="17" spans="1:18" ht="25.5" customHeight="1">
      <c r="A17" s="6">
        <v>1.7</v>
      </c>
      <c r="B17" s="14" t="s">
        <v>133</v>
      </c>
      <c r="C17" s="15">
        <f t="shared" si="1"/>
        <v>77</v>
      </c>
      <c r="D17" s="15"/>
      <c r="E17" s="15"/>
      <c r="F17" s="15"/>
      <c r="G17" s="15">
        <f t="shared" si="0"/>
        <v>77</v>
      </c>
      <c r="H17" s="15" t="s">
        <v>23</v>
      </c>
      <c r="I17" s="15">
        <v>77</v>
      </c>
      <c r="J17" s="15">
        <v>10000</v>
      </c>
      <c r="K17" s="29"/>
      <c r="M17" s="28">
        <v>9</v>
      </c>
      <c r="N17" s="28" t="s">
        <v>270</v>
      </c>
      <c r="O17" s="28" t="s">
        <v>220</v>
      </c>
      <c r="P17" s="28" t="s">
        <v>36</v>
      </c>
      <c r="Q17" s="28">
        <v>1136</v>
      </c>
      <c r="R17" s="28"/>
    </row>
    <row r="18" spans="1:18" ht="25.5" customHeight="1">
      <c r="A18" s="6">
        <v>1.8</v>
      </c>
      <c r="B18" s="14" t="s">
        <v>134</v>
      </c>
      <c r="C18" s="15">
        <f t="shared" si="1"/>
        <v>32.82</v>
      </c>
      <c r="D18" s="15"/>
      <c r="E18" s="15"/>
      <c r="F18" s="15"/>
      <c r="G18" s="15">
        <f t="shared" si="0"/>
        <v>32.82</v>
      </c>
      <c r="H18" s="15" t="s">
        <v>36</v>
      </c>
      <c r="I18" s="15">
        <v>547</v>
      </c>
      <c r="J18" s="15">
        <v>600</v>
      </c>
      <c r="K18" s="29"/>
      <c r="M18" s="28">
        <v>10</v>
      </c>
      <c r="N18" s="28" t="s">
        <v>269</v>
      </c>
      <c r="O18" s="28"/>
      <c r="P18" s="28" t="s">
        <v>36</v>
      </c>
      <c r="Q18" s="28">
        <v>1134</v>
      </c>
      <c r="R18" s="28"/>
    </row>
    <row r="19" spans="1:18" ht="25.5" customHeight="1">
      <c r="A19" s="18">
        <v>1.9</v>
      </c>
      <c r="B19" s="14" t="s">
        <v>135</v>
      </c>
      <c r="C19" s="15">
        <f t="shared" si="1"/>
        <v>1.2</v>
      </c>
      <c r="D19" s="15"/>
      <c r="E19" s="15"/>
      <c r="F19" s="15"/>
      <c r="G19" s="15">
        <f t="shared" si="0"/>
        <v>1.2</v>
      </c>
      <c r="H19" s="15" t="s">
        <v>136</v>
      </c>
      <c r="I19" s="15">
        <v>1</v>
      </c>
      <c r="J19" s="15">
        <v>12000</v>
      </c>
      <c r="K19" s="29"/>
      <c r="M19" s="28">
        <v>11</v>
      </c>
      <c r="N19" s="28" t="s">
        <v>132</v>
      </c>
      <c r="O19" s="28"/>
      <c r="P19" s="28" t="s">
        <v>36</v>
      </c>
      <c r="Q19" s="28">
        <v>199</v>
      </c>
      <c r="R19" s="28"/>
    </row>
    <row r="20" spans="1:18" ht="25.5" customHeight="1">
      <c r="A20" s="19">
        <v>1.1</v>
      </c>
      <c r="B20" s="14" t="s">
        <v>137</v>
      </c>
      <c r="C20" s="15">
        <f t="shared" si="1"/>
        <v>1.2</v>
      </c>
      <c r="D20" s="15"/>
      <c r="E20" s="15"/>
      <c r="F20" s="15"/>
      <c r="G20" s="15">
        <f t="shared" si="0"/>
        <v>1.2</v>
      </c>
      <c r="H20" s="20" t="s">
        <v>138</v>
      </c>
      <c r="I20" s="15">
        <v>1</v>
      </c>
      <c r="J20" s="15">
        <v>12000</v>
      </c>
      <c r="K20" s="29"/>
      <c r="M20" s="28">
        <v>12</v>
      </c>
      <c r="N20" s="28" t="s">
        <v>133</v>
      </c>
      <c r="O20" s="28"/>
      <c r="P20" s="28" t="s">
        <v>23</v>
      </c>
      <c r="Q20" s="28">
        <v>77</v>
      </c>
      <c r="R20" s="28"/>
    </row>
    <row r="21" spans="1:18" ht="25.5" customHeight="1">
      <c r="A21" s="19">
        <v>1.11</v>
      </c>
      <c r="B21" s="14" t="s">
        <v>131</v>
      </c>
      <c r="C21" s="15">
        <f t="shared" si="1"/>
        <v>16.276</v>
      </c>
      <c r="D21" s="15"/>
      <c r="E21" s="15"/>
      <c r="F21" s="15"/>
      <c r="G21" s="15">
        <f t="shared" si="0"/>
        <v>16.276</v>
      </c>
      <c r="H21" s="15" t="s">
        <v>36</v>
      </c>
      <c r="I21" s="15">
        <v>626</v>
      </c>
      <c r="J21" s="15">
        <v>260</v>
      </c>
      <c r="K21" s="29"/>
      <c r="M21" s="28"/>
      <c r="N21" s="28"/>
      <c r="O21" s="28"/>
      <c r="P21" s="28"/>
      <c r="Q21" s="28"/>
      <c r="R21" s="28"/>
    </row>
    <row r="22" spans="1:18" ht="25.5" customHeight="1">
      <c r="A22" s="21">
        <v>2</v>
      </c>
      <c r="B22" s="22" t="s">
        <v>271</v>
      </c>
      <c r="C22" s="15">
        <f>SUM(C23:C39)</f>
        <v>12329.004</v>
      </c>
      <c r="D22" s="15"/>
      <c r="E22" s="15"/>
      <c r="F22" s="15"/>
      <c r="G22" s="15">
        <f t="shared" si="0"/>
        <v>12329.004</v>
      </c>
      <c r="H22" s="15" t="s">
        <v>36</v>
      </c>
      <c r="I22" s="15"/>
      <c r="J22" s="15"/>
      <c r="K22" s="29"/>
      <c r="M22" s="28">
        <v>13</v>
      </c>
      <c r="N22" s="28" t="s">
        <v>134</v>
      </c>
      <c r="O22" s="28"/>
      <c r="P22" s="28" t="s">
        <v>36</v>
      </c>
      <c r="Q22" s="28">
        <v>547</v>
      </c>
      <c r="R22" s="28"/>
    </row>
    <row r="23" spans="1:18" ht="25.5" customHeight="1">
      <c r="A23" s="17">
        <v>2.1</v>
      </c>
      <c r="B23" s="22" t="s">
        <v>238</v>
      </c>
      <c r="C23" s="15">
        <f aca="true" t="shared" si="2" ref="C23:C39">I23*J23/10000</f>
        <v>1302.82</v>
      </c>
      <c r="D23" s="15"/>
      <c r="E23" s="15"/>
      <c r="F23" s="15"/>
      <c r="G23" s="15">
        <f t="shared" si="0"/>
        <v>1302.82</v>
      </c>
      <c r="H23" s="15" t="s">
        <v>36</v>
      </c>
      <c r="I23" s="15">
        <v>65141</v>
      </c>
      <c r="J23" s="15">
        <v>200</v>
      </c>
      <c r="K23" s="29"/>
      <c r="M23" s="30" t="s">
        <v>271</v>
      </c>
      <c r="N23" s="30"/>
      <c r="O23" s="30"/>
      <c r="P23" s="30"/>
      <c r="Q23" s="30"/>
      <c r="R23" s="30"/>
    </row>
    <row r="24" spans="1:18" ht="25.5" customHeight="1">
      <c r="A24" s="17">
        <v>2.2</v>
      </c>
      <c r="B24" s="22" t="s">
        <v>239</v>
      </c>
      <c r="C24" s="15">
        <f t="shared" si="2"/>
        <v>762.944</v>
      </c>
      <c r="D24" s="15"/>
      <c r="E24" s="15"/>
      <c r="F24" s="15"/>
      <c r="G24" s="15">
        <f t="shared" si="0"/>
        <v>762.944</v>
      </c>
      <c r="H24" s="15" t="s">
        <v>36</v>
      </c>
      <c r="I24" s="15">
        <v>47684</v>
      </c>
      <c r="J24" s="15">
        <v>160</v>
      </c>
      <c r="K24" s="29"/>
      <c r="M24" s="28"/>
      <c r="N24" s="28" t="s">
        <v>114</v>
      </c>
      <c r="O24" s="28" t="s">
        <v>182</v>
      </c>
      <c r="P24" s="28" t="s">
        <v>12</v>
      </c>
      <c r="Q24" s="28" t="s">
        <v>13</v>
      </c>
      <c r="R24" s="28" t="s">
        <v>183</v>
      </c>
    </row>
    <row r="25" spans="1:18" ht="25.5" customHeight="1">
      <c r="A25" s="17">
        <v>2.3</v>
      </c>
      <c r="B25" s="22" t="s">
        <v>240</v>
      </c>
      <c r="C25" s="15">
        <f t="shared" si="2"/>
        <v>1228.17</v>
      </c>
      <c r="D25" s="15"/>
      <c r="E25" s="15"/>
      <c r="F25" s="15"/>
      <c r="G25" s="15">
        <f t="shared" si="0"/>
        <v>1228.17</v>
      </c>
      <c r="H25" s="15" t="s">
        <v>36</v>
      </c>
      <c r="I25" s="15">
        <v>40939</v>
      </c>
      <c r="J25" s="15">
        <v>300</v>
      </c>
      <c r="K25" s="29"/>
      <c r="M25" s="28">
        <v>1</v>
      </c>
      <c r="N25" s="28" t="s">
        <v>77</v>
      </c>
      <c r="O25" s="28" t="s">
        <v>190</v>
      </c>
      <c r="P25" s="28" t="s">
        <v>36</v>
      </c>
      <c r="Q25" s="28">
        <v>65141</v>
      </c>
      <c r="R25" s="28"/>
    </row>
    <row r="26" spans="1:18" ht="25.5" customHeight="1">
      <c r="A26" s="17">
        <v>2.4</v>
      </c>
      <c r="B26" s="14" t="s">
        <v>241</v>
      </c>
      <c r="C26" s="15">
        <f t="shared" si="2"/>
        <v>1524</v>
      </c>
      <c r="D26" s="15"/>
      <c r="E26" s="15"/>
      <c r="F26" s="15"/>
      <c r="G26" s="15">
        <f t="shared" si="0"/>
        <v>1524</v>
      </c>
      <c r="H26" s="15" t="s">
        <v>36</v>
      </c>
      <c r="I26" s="15">
        <v>25400</v>
      </c>
      <c r="J26" s="15">
        <v>600</v>
      </c>
      <c r="K26" s="15"/>
      <c r="M26" s="28">
        <v>2</v>
      </c>
      <c r="N26" s="28" t="s">
        <v>239</v>
      </c>
      <c r="O26" s="28" t="s">
        <v>272</v>
      </c>
      <c r="P26" s="28" t="s">
        <v>36</v>
      </c>
      <c r="Q26" s="28">
        <v>47684</v>
      </c>
      <c r="R26" s="28"/>
    </row>
    <row r="27" spans="1:18" ht="25.5" customHeight="1">
      <c r="A27" s="17">
        <v>2.5</v>
      </c>
      <c r="B27" s="14" t="s">
        <v>242</v>
      </c>
      <c r="C27" s="15">
        <f t="shared" si="2"/>
        <v>124.62</v>
      </c>
      <c r="D27" s="15"/>
      <c r="E27" s="15"/>
      <c r="F27" s="15"/>
      <c r="G27" s="15">
        <f t="shared" si="0"/>
        <v>124.62</v>
      </c>
      <c r="H27" s="15" t="s">
        <v>36</v>
      </c>
      <c r="I27" s="15">
        <v>2077</v>
      </c>
      <c r="J27" s="15">
        <f>J26</f>
        <v>600</v>
      </c>
      <c r="K27" s="15"/>
      <c r="M27" s="28">
        <v>3</v>
      </c>
      <c r="N27" s="28" t="s">
        <v>273</v>
      </c>
      <c r="O27" s="28" t="s">
        <v>274</v>
      </c>
      <c r="P27" s="28" t="s">
        <v>36</v>
      </c>
      <c r="Q27" s="28">
        <v>40939</v>
      </c>
      <c r="R27" s="28"/>
    </row>
    <row r="28" spans="1:18" ht="25.5" customHeight="1">
      <c r="A28" s="17">
        <v>2.6</v>
      </c>
      <c r="B28" s="14" t="s">
        <v>243</v>
      </c>
      <c r="C28" s="15">
        <f t="shared" si="2"/>
        <v>1975.68</v>
      </c>
      <c r="D28" s="15"/>
      <c r="E28" s="15"/>
      <c r="F28" s="15"/>
      <c r="G28" s="15">
        <f t="shared" si="0"/>
        <v>1975.68</v>
      </c>
      <c r="H28" s="15" t="s">
        <v>36</v>
      </c>
      <c r="I28" s="15">
        <v>32928</v>
      </c>
      <c r="J28" s="15">
        <f>J26</f>
        <v>600</v>
      </c>
      <c r="K28" s="15"/>
      <c r="M28" s="28">
        <v>4</v>
      </c>
      <c r="N28" s="28" t="s">
        <v>275</v>
      </c>
      <c r="O28" s="28" t="s">
        <v>85</v>
      </c>
      <c r="P28" s="28" t="s">
        <v>36</v>
      </c>
      <c r="Q28" s="28">
        <v>25400</v>
      </c>
      <c r="R28" s="28"/>
    </row>
    <row r="29" spans="1:18" ht="25.5" customHeight="1">
      <c r="A29" s="17">
        <v>2.7</v>
      </c>
      <c r="B29" s="14" t="s">
        <v>244</v>
      </c>
      <c r="C29" s="15">
        <f t="shared" si="2"/>
        <v>80.76</v>
      </c>
      <c r="D29" s="15"/>
      <c r="E29" s="15"/>
      <c r="F29" s="15"/>
      <c r="G29" s="15">
        <f t="shared" si="0"/>
        <v>80.76</v>
      </c>
      <c r="H29" s="15" t="s">
        <v>36</v>
      </c>
      <c r="I29" s="15">
        <v>2019</v>
      </c>
      <c r="J29" s="15">
        <v>400</v>
      </c>
      <c r="K29" s="15"/>
      <c r="M29" s="28">
        <v>5</v>
      </c>
      <c r="N29" s="28" t="s">
        <v>276</v>
      </c>
      <c r="O29" s="28" t="s">
        <v>85</v>
      </c>
      <c r="P29" s="28" t="s">
        <v>36</v>
      </c>
      <c r="Q29" s="28">
        <v>2077</v>
      </c>
      <c r="R29" s="28"/>
    </row>
    <row r="30" spans="1:18" ht="25.5" customHeight="1">
      <c r="A30" s="17">
        <v>2.8</v>
      </c>
      <c r="B30" s="14" t="s">
        <v>277</v>
      </c>
      <c r="C30" s="15">
        <f t="shared" si="2"/>
        <v>86.56</v>
      </c>
      <c r="D30" s="15"/>
      <c r="E30" s="15"/>
      <c r="F30" s="15"/>
      <c r="G30" s="15">
        <f t="shared" si="0"/>
        <v>86.56</v>
      </c>
      <c r="H30" s="15" t="s">
        <v>36</v>
      </c>
      <c r="I30" s="15">
        <v>2164</v>
      </c>
      <c r="J30" s="15">
        <f>J9</f>
        <v>400</v>
      </c>
      <c r="K30" s="15"/>
      <c r="M30" s="28">
        <v>6</v>
      </c>
      <c r="N30" s="28" t="s">
        <v>278</v>
      </c>
      <c r="O30" s="28" t="s">
        <v>85</v>
      </c>
      <c r="P30" s="28" t="s">
        <v>36</v>
      </c>
      <c r="Q30" s="28">
        <v>32928</v>
      </c>
      <c r="R30" s="28"/>
    </row>
    <row r="31" spans="1:18" ht="25.5" customHeight="1">
      <c r="A31" s="17">
        <v>2.9</v>
      </c>
      <c r="B31" s="14" t="s">
        <v>246</v>
      </c>
      <c r="C31" s="15">
        <f t="shared" si="2"/>
        <v>1167.32</v>
      </c>
      <c r="D31" s="15"/>
      <c r="E31" s="15"/>
      <c r="F31" s="15"/>
      <c r="G31" s="15">
        <f t="shared" si="0"/>
        <v>1167.32</v>
      </c>
      <c r="H31" s="15" t="s">
        <v>36</v>
      </c>
      <c r="I31" s="15">
        <v>4169</v>
      </c>
      <c r="J31" s="15">
        <v>2800</v>
      </c>
      <c r="K31" s="15"/>
      <c r="M31" s="28">
        <v>7</v>
      </c>
      <c r="N31" s="28" t="s">
        <v>185</v>
      </c>
      <c r="O31" s="28" t="s">
        <v>262</v>
      </c>
      <c r="P31" s="28" t="s">
        <v>36</v>
      </c>
      <c r="Q31" s="28">
        <v>2019</v>
      </c>
      <c r="R31" s="28"/>
    </row>
    <row r="32" spans="1:18" ht="25.5" customHeight="1">
      <c r="A32" s="15">
        <v>2.1</v>
      </c>
      <c r="B32" s="14" t="s">
        <v>207</v>
      </c>
      <c r="C32" s="15">
        <f t="shared" si="2"/>
        <v>683.04</v>
      </c>
      <c r="D32" s="15"/>
      <c r="E32" s="15"/>
      <c r="F32" s="15"/>
      <c r="G32" s="15">
        <f t="shared" si="0"/>
        <v>683.04</v>
      </c>
      <c r="H32" s="15" t="s">
        <v>36</v>
      </c>
      <c r="I32" s="15">
        <v>4269</v>
      </c>
      <c r="J32" s="15">
        <f>J11</f>
        <v>1600</v>
      </c>
      <c r="K32" s="15"/>
      <c r="M32" s="28">
        <v>8</v>
      </c>
      <c r="N32" s="28" t="s">
        <v>279</v>
      </c>
      <c r="O32" s="28" t="s">
        <v>85</v>
      </c>
      <c r="P32" s="28" t="s">
        <v>36</v>
      </c>
      <c r="Q32" s="28">
        <v>2164</v>
      </c>
      <c r="R32" s="28"/>
    </row>
    <row r="33" spans="1:18" ht="25.5" customHeight="1">
      <c r="A33" s="15">
        <v>2.11</v>
      </c>
      <c r="B33" s="22" t="s">
        <v>124</v>
      </c>
      <c r="C33" s="15">
        <f t="shared" si="2"/>
        <v>1292.8</v>
      </c>
      <c r="D33" s="15"/>
      <c r="E33" s="15"/>
      <c r="F33" s="15"/>
      <c r="G33" s="15">
        <f t="shared" si="0"/>
        <v>1292.8</v>
      </c>
      <c r="H33" s="15" t="s">
        <v>36</v>
      </c>
      <c r="I33" s="15">
        <v>8080</v>
      </c>
      <c r="J33" s="15">
        <v>1600</v>
      </c>
      <c r="K33" s="15"/>
      <c r="M33" s="28">
        <v>9</v>
      </c>
      <c r="N33" s="28" t="s">
        <v>280</v>
      </c>
      <c r="O33" s="28" t="s">
        <v>281</v>
      </c>
      <c r="P33" s="28" t="s">
        <v>36</v>
      </c>
      <c r="Q33" s="28">
        <v>4169</v>
      </c>
      <c r="R33" s="28"/>
    </row>
    <row r="34" spans="1:18" ht="25.5" customHeight="1">
      <c r="A34" s="15">
        <v>2.12</v>
      </c>
      <c r="B34" s="22" t="s">
        <v>247</v>
      </c>
      <c r="C34" s="15">
        <f t="shared" si="2"/>
        <v>579.79</v>
      </c>
      <c r="D34" s="15"/>
      <c r="E34" s="15"/>
      <c r="F34" s="15"/>
      <c r="G34" s="15">
        <f t="shared" si="0"/>
        <v>579.79</v>
      </c>
      <c r="H34" s="15" t="s">
        <v>36</v>
      </c>
      <c r="I34" s="15">
        <v>57979</v>
      </c>
      <c r="J34" s="15">
        <v>100</v>
      </c>
      <c r="K34" s="15"/>
      <c r="M34" s="28">
        <v>10</v>
      </c>
      <c r="N34" s="28" t="s">
        <v>219</v>
      </c>
      <c r="O34" s="28" t="s">
        <v>220</v>
      </c>
      <c r="P34" s="28" t="s">
        <v>36</v>
      </c>
      <c r="Q34" s="28">
        <v>4269</v>
      </c>
      <c r="R34" s="28"/>
    </row>
    <row r="35" spans="1:18" ht="25.5" customHeight="1">
      <c r="A35" s="15">
        <v>2.13</v>
      </c>
      <c r="B35" s="22" t="s">
        <v>248</v>
      </c>
      <c r="C35" s="15">
        <f t="shared" si="2"/>
        <v>1299</v>
      </c>
      <c r="D35" s="15"/>
      <c r="E35" s="15"/>
      <c r="F35" s="15"/>
      <c r="G35" s="15">
        <f t="shared" si="0"/>
        <v>1299</v>
      </c>
      <c r="H35" s="15" t="s">
        <v>36</v>
      </c>
      <c r="I35" s="15">
        <v>6495</v>
      </c>
      <c r="J35" s="15">
        <v>2000</v>
      </c>
      <c r="K35" s="15"/>
      <c r="M35" s="28">
        <v>11</v>
      </c>
      <c r="N35" s="28" t="s">
        <v>231</v>
      </c>
      <c r="O35" s="28" t="s">
        <v>220</v>
      </c>
      <c r="P35" s="28" t="s">
        <v>36</v>
      </c>
      <c r="Q35" s="28">
        <v>8080</v>
      </c>
      <c r="R35" s="28"/>
    </row>
    <row r="36" spans="1:18" ht="25.5" customHeight="1">
      <c r="A36" s="15">
        <v>2.14</v>
      </c>
      <c r="B36" s="22" t="s">
        <v>249</v>
      </c>
      <c r="C36" s="15">
        <f t="shared" si="2"/>
        <v>2.2</v>
      </c>
      <c r="D36" s="15"/>
      <c r="E36" s="15"/>
      <c r="F36" s="15"/>
      <c r="G36" s="15">
        <f t="shared" si="0"/>
        <v>2.2</v>
      </c>
      <c r="H36" s="15" t="s">
        <v>94</v>
      </c>
      <c r="I36" s="15">
        <v>11</v>
      </c>
      <c r="J36" s="15">
        <v>2000</v>
      </c>
      <c r="K36" s="15"/>
      <c r="M36" s="28">
        <v>12</v>
      </c>
      <c r="N36" s="28" t="s">
        <v>247</v>
      </c>
      <c r="O36" s="28"/>
      <c r="P36" s="28" t="s">
        <v>36</v>
      </c>
      <c r="Q36" s="28">
        <v>57979</v>
      </c>
      <c r="R36" s="28"/>
    </row>
    <row r="37" spans="1:18" ht="25.5" customHeight="1">
      <c r="A37" s="15">
        <v>2.15</v>
      </c>
      <c r="B37" s="22" t="s">
        <v>250</v>
      </c>
      <c r="C37" s="15">
        <f t="shared" si="2"/>
        <v>12.3</v>
      </c>
      <c r="D37" s="15"/>
      <c r="E37" s="15"/>
      <c r="F37" s="15"/>
      <c r="G37" s="15">
        <f t="shared" si="0"/>
        <v>12.3</v>
      </c>
      <c r="H37" s="15" t="s">
        <v>94</v>
      </c>
      <c r="I37" s="15">
        <v>82</v>
      </c>
      <c r="J37" s="15">
        <v>1500</v>
      </c>
      <c r="K37" s="15"/>
      <c r="M37" s="28">
        <v>13</v>
      </c>
      <c r="N37" s="28" t="s">
        <v>248</v>
      </c>
      <c r="O37" s="28"/>
      <c r="P37" s="28" t="s">
        <v>36</v>
      </c>
      <c r="Q37" s="28">
        <v>6495</v>
      </c>
      <c r="R37" s="28"/>
    </row>
    <row r="38" spans="1:18" ht="25.5" customHeight="1">
      <c r="A38" s="15">
        <v>2.16</v>
      </c>
      <c r="B38" s="22" t="s">
        <v>127</v>
      </c>
      <c r="C38" s="15">
        <f t="shared" si="2"/>
        <v>200</v>
      </c>
      <c r="D38" s="15"/>
      <c r="E38" s="15"/>
      <c r="F38" s="15"/>
      <c r="G38" s="15">
        <f t="shared" si="0"/>
        <v>200</v>
      </c>
      <c r="H38" s="15" t="s">
        <v>251</v>
      </c>
      <c r="I38" s="15">
        <v>1</v>
      </c>
      <c r="J38" s="15">
        <v>2000000</v>
      </c>
      <c r="K38" s="15"/>
      <c r="M38" s="28">
        <v>14</v>
      </c>
      <c r="N38" s="28" t="s">
        <v>282</v>
      </c>
      <c r="O38" s="28"/>
      <c r="P38" s="28" t="s">
        <v>94</v>
      </c>
      <c r="Q38" s="28">
        <v>11</v>
      </c>
      <c r="R38" s="28"/>
    </row>
    <row r="39" spans="1:18" ht="25.5" customHeight="1">
      <c r="A39" s="15">
        <v>2.17</v>
      </c>
      <c r="B39" s="14" t="s">
        <v>283</v>
      </c>
      <c r="C39" s="15">
        <f t="shared" si="2"/>
        <v>7</v>
      </c>
      <c r="D39" s="15"/>
      <c r="E39" s="15"/>
      <c r="F39" s="15"/>
      <c r="G39" s="15">
        <f t="shared" si="0"/>
        <v>7</v>
      </c>
      <c r="H39" s="15" t="s">
        <v>94</v>
      </c>
      <c r="I39" s="15">
        <v>14</v>
      </c>
      <c r="J39" s="15">
        <v>5000</v>
      </c>
      <c r="K39" s="15"/>
      <c r="M39" s="28">
        <v>15</v>
      </c>
      <c r="N39" s="28" t="s">
        <v>250</v>
      </c>
      <c r="O39" s="28"/>
      <c r="P39" s="28" t="s">
        <v>94</v>
      </c>
      <c r="Q39" s="28">
        <v>82</v>
      </c>
      <c r="R39" s="28"/>
    </row>
    <row r="40" spans="1:18" ht="25.5" customHeight="1">
      <c r="A40" s="21">
        <v>3</v>
      </c>
      <c r="B40" s="14" t="s">
        <v>284</v>
      </c>
      <c r="C40" s="15">
        <f>C41+C42+C43+C50</f>
        <v>1094.5648999999999</v>
      </c>
      <c r="D40" s="15"/>
      <c r="E40" s="15"/>
      <c r="F40" s="15"/>
      <c r="G40" s="15">
        <f t="shared" si="0"/>
        <v>1094.5648999999999</v>
      </c>
      <c r="H40" s="15"/>
      <c r="I40" s="15"/>
      <c r="J40" s="15"/>
      <c r="K40" s="15"/>
      <c r="M40" s="28">
        <v>16</v>
      </c>
      <c r="N40" s="28" t="s">
        <v>127</v>
      </c>
      <c r="O40" s="28"/>
      <c r="P40" s="28" t="s">
        <v>251</v>
      </c>
      <c r="Q40" s="28">
        <v>1</v>
      </c>
      <c r="R40" s="28"/>
    </row>
    <row r="41" spans="1:18" ht="25.5" customHeight="1">
      <c r="A41" s="17">
        <v>3.1</v>
      </c>
      <c r="B41" s="14" t="s">
        <v>285</v>
      </c>
      <c r="C41" s="15">
        <f aca="true" t="shared" si="3" ref="C41:C49">I41*J41/10000</f>
        <v>100</v>
      </c>
      <c r="D41" s="15"/>
      <c r="E41" s="15"/>
      <c r="F41" s="15"/>
      <c r="G41" s="15">
        <f t="shared" si="0"/>
        <v>100</v>
      </c>
      <c r="H41" s="15" t="s">
        <v>94</v>
      </c>
      <c r="I41" s="15">
        <v>1</v>
      </c>
      <c r="J41" s="15">
        <v>1000000</v>
      </c>
      <c r="K41" s="15"/>
      <c r="M41" s="28">
        <v>17</v>
      </c>
      <c r="N41" s="28" t="s">
        <v>283</v>
      </c>
      <c r="O41" s="28"/>
      <c r="P41" s="28" t="s">
        <v>94</v>
      </c>
      <c r="Q41" s="28">
        <v>14</v>
      </c>
      <c r="R41" s="28"/>
    </row>
    <row r="42" spans="1:18" ht="25.5" customHeight="1">
      <c r="A42" s="17">
        <v>3.2</v>
      </c>
      <c r="B42" s="14" t="s">
        <v>117</v>
      </c>
      <c r="C42" s="15">
        <f t="shared" si="3"/>
        <v>181.764</v>
      </c>
      <c r="D42" s="15"/>
      <c r="E42" s="15"/>
      <c r="F42" s="15"/>
      <c r="G42" s="15">
        <f t="shared" si="0"/>
        <v>181.764</v>
      </c>
      <c r="H42" s="15" t="s">
        <v>36</v>
      </c>
      <c r="I42" s="15">
        <v>5049</v>
      </c>
      <c r="J42" s="15">
        <f>J8</f>
        <v>360</v>
      </c>
      <c r="K42" s="15"/>
      <c r="M42" s="31" t="s">
        <v>284</v>
      </c>
      <c r="N42" s="31"/>
      <c r="O42" s="31"/>
      <c r="P42" s="31"/>
      <c r="Q42" s="31"/>
      <c r="R42" s="31"/>
    </row>
    <row r="43" spans="1:18" ht="25.5" customHeight="1">
      <c r="A43" s="17">
        <v>3.3</v>
      </c>
      <c r="B43" s="23" t="s">
        <v>286</v>
      </c>
      <c r="C43" s="15">
        <f>SUM(C44:C49)</f>
        <v>643.2609</v>
      </c>
      <c r="D43" s="15"/>
      <c r="E43" s="15"/>
      <c r="F43" s="15"/>
      <c r="G43" s="15">
        <f t="shared" si="0"/>
        <v>643.2609</v>
      </c>
      <c r="H43" s="15"/>
      <c r="I43" s="15"/>
      <c r="J43" s="15"/>
      <c r="K43" s="15"/>
      <c r="M43" s="28"/>
      <c r="N43" s="28" t="s">
        <v>114</v>
      </c>
      <c r="O43" s="28" t="s">
        <v>182</v>
      </c>
      <c r="P43" s="28" t="s">
        <v>12</v>
      </c>
      <c r="Q43" s="28" t="s">
        <v>13</v>
      </c>
      <c r="R43" s="28" t="s">
        <v>183</v>
      </c>
    </row>
    <row r="44" spans="1:18" ht="25.5" customHeight="1">
      <c r="A44" s="17" t="s">
        <v>287</v>
      </c>
      <c r="B44" s="23" t="s">
        <v>77</v>
      </c>
      <c r="C44" s="15">
        <f t="shared" si="3"/>
        <v>25.6</v>
      </c>
      <c r="D44" s="15"/>
      <c r="E44" s="15"/>
      <c r="F44" s="15"/>
      <c r="G44" s="15">
        <f t="shared" si="0"/>
        <v>25.6</v>
      </c>
      <c r="H44" s="15" t="s">
        <v>36</v>
      </c>
      <c r="I44" s="15">
        <v>1280</v>
      </c>
      <c r="J44" s="15">
        <f>J23</f>
        <v>200</v>
      </c>
      <c r="K44" s="15"/>
      <c r="M44" s="28">
        <v>1</v>
      </c>
      <c r="N44" s="28" t="s">
        <v>288</v>
      </c>
      <c r="O44" s="28"/>
      <c r="P44" s="28" t="s">
        <v>36</v>
      </c>
      <c r="Q44" s="28">
        <v>53331</v>
      </c>
      <c r="R44" s="28" t="s">
        <v>289</v>
      </c>
    </row>
    <row r="45" spans="1:18" ht="25.5" customHeight="1">
      <c r="A45" s="17" t="s">
        <v>290</v>
      </c>
      <c r="B45" s="23" t="s">
        <v>181</v>
      </c>
      <c r="C45" s="15">
        <f t="shared" si="3"/>
        <v>51.8609</v>
      </c>
      <c r="D45" s="15"/>
      <c r="E45" s="15"/>
      <c r="F45" s="15"/>
      <c r="G45" s="15">
        <f t="shared" si="0"/>
        <v>51.8609</v>
      </c>
      <c r="H45" s="15" t="s">
        <v>36</v>
      </c>
      <c r="I45" s="15">
        <v>1807</v>
      </c>
      <c r="J45" s="15">
        <v>287</v>
      </c>
      <c r="K45" s="15"/>
      <c r="M45" s="28">
        <v>2</v>
      </c>
      <c r="N45" s="28" t="s">
        <v>185</v>
      </c>
      <c r="O45" s="28" t="s">
        <v>262</v>
      </c>
      <c r="P45" s="28" t="s">
        <v>36</v>
      </c>
      <c r="Q45" s="28">
        <v>5049</v>
      </c>
      <c r="R45" s="28"/>
    </row>
    <row r="46" spans="1:18" ht="25.5" customHeight="1">
      <c r="A46" s="17" t="s">
        <v>291</v>
      </c>
      <c r="B46" s="23" t="s">
        <v>120</v>
      </c>
      <c r="C46" s="15">
        <f t="shared" si="3"/>
        <v>23.88</v>
      </c>
      <c r="D46" s="15"/>
      <c r="E46" s="15"/>
      <c r="F46" s="15"/>
      <c r="G46" s="15">
        <f t="shared" si="0"/>
        <v>23.88</v>
      </c>
      <c r="H46" s="15" t="s">
        <v>36</v>
      </c>
      <c r="I46" s="15">
        <v>597</v>
      </c>
      <c r="J46" s="15">
        <f>J9</f>
        <v>400</v>
      </c>
      <c r="K46" s="15"/>
      <c r="M46" s="28">
        <v>3</v>
      </c>
      <c r="N46" s="28"/>
      <c r="O46" s="28" t="s">
        <v>286</v>
      </c>
      <c r="P46" s="28"/>
      <c r="Q46" s="28"/>
      <c r="R46" s="28"/>
    </row>
    <row r="47" spans="1:18" ht="25.5" customHeight="1">
      <c r="A47" s="17" t="s">
        <v>292</v>
      </c>
      <c r="B47" s="23" t="s">
        <v>207</v>
      </c>
      <c r="C47" s="15">
        <f t="shared" si="3"/>
        <v>22.72</v>
      </c>
      <c r="D47" s="15"/>
      <c r="E47" s="15"/>
      <c r="F47" s="15"/>
      <c r="G47" s="15">
        <f t="shared" si="0"/>
        <v>22.72</v>
      </c>
      <c r="H47" s="15" t="s">
        <v>36</v>
      </c>
      <c r="I47" s="15">
        <v>142</v>
      </c>
      <c r="J47" s="15">
        <f>J11</f>
        <v>1600</v>
      </c>
      <c r="K47" s="15"/>
      <c r="M47" s="28">
        <v>4</v>
      </c>
      <c r="N47" s="28" t="s">
        <v>77</v>
      </c>
      <c r="O47" s="28" t="s">
        <v>190</v>
      </c>
      <c r="P47" s="28" t="s">
        <v>36</v>
      </c>
      <c r="Q47" s="28">
        <v>1280</v>
      </c>
      <c r="R47" s="28"/>
    </row>
    <row r="48" spans="1:18" ht="25.5" customHeight="1">
      <c r="A48" s="17" t="s">
        <v>293</v>
      </c>
      <c r="B48" s="23" t="s">
        <v>201</v>
      </c>
      <c r="C48" s="15">
        <f t="shared" si="3"/>
        <v>19.2</v>
      </c>
      <c r="D48" s="15"/>
      <c r="E48" s="15"/>
      <c r="F48" s="15"/>
      <c r="G48" s="15">
        <f t="shared" si="0"/>
        <v>19.2</v>
      </c>
      <c r="H48" s="15" t="s">
        <v>23</v>
      </c>
      <c r="I48" s="15">
        <v>48</v>
      </c>
      <c r="J48" s="15">
        <v>4000</v>
      </c>
      <c r="K48" s="15"/>
      <c r="M48" s="28">
        <v>5</v>
      </c>
      <c r="N48" s="28" t="s">
        <v>181</v>
      </c>
      <c r="O48" s="28"/>
      <c r="P48" s="28" t="s">
        <v>36</v>
      </c>
      <c r="Q48" s="28">
        <v>1807</v>
      </c>
      <c r="R48" s="28"/>
    </row>
    <row r="49" spans="1:18" ht="25.5" customHeight="1">
      <c r="A49" s="17" t="s">
        <v>294</v>
      </c>
      <c r="B49" s="23" t="s">
        <v>212</v>
      </c>
      <c r="C49" s="15">
        <f t="shared" si="3"/>
        <v>500</v>
      </c>
      <c r="D49" s="15"/>
      <c r="E49" s="15"/>
      <c r="F49" s="15"/>
      <c r="G49" s="15">
        <f t="shared" si="0"/>
        <v>500</v>
      </c>
      <c r="H49" s="15" t="s">
        <v>94</v>
      </c>
      <c r="I49" s="15">
        <v>1</v>
      </c>
      <c r="J49" s="15">
        <v>5000000</v>
      </c>
      <c r="K49" s="15"/>
      <c r="M49" s="28">
        <v>6</v>
      </c>
      <c r="N49" s="28" t="s">
        <v>177</v>
      </c>
      <c r="O49" s="28" t="s">
        <v>85</v>
      </c>
      <c r="P49" s="28" t="s">
        <v>36</v>
      </c>
      <c r="Q49" s="28">
        <v>597</v>
      </c>
      <c r="R49" s="28"/>
    </row>
    <row r="50" spans="1:18" ht="25.5" customHeight="1">
      <c r="A50" s="17">
        <v>3.4</v>
      </c>
      <c r="B50" s="23" t="s">
        <v>295</v>
      </c>
      <c r="C50" s="15">
        <f>SUM(C51:C55)</f>
        <v>169.53999999999996</v>
      </c>
      <c r="D50" s="15"/>
      <c r="E50" s="15"/>
      <c r="F50" s="15"/>
      <c r="G50" s="15">
        <f t="shared" si="0"/>
        <v>169.53999999999996</v>
      </c>
      <c r="H50" s="15"/>
      <c r="I50" s="15"/>
      <c r="J50" s="15"/>
      <c r="K50" s="15"/>
      <c r="M50" s="28">
        <v>7</v>
      </c>
      <c r="N50" s="28" t="s">
        <v>219</v>
      </c>
      <c r="O50" s="28" t="s">
        <v>220</v>
      </c>
      <c r="P50" s="28" t="s">
        <v>36</v>
      </c>
      <c r="Q50" s="28">
        <v>142</v>
      </c>
      <c r="R50" s="28"/>
    </row>
    <row r="51" spans="1:18" ht="25.5" customHeight="1">
      <c r="A51" s="17" t="s">
        <v>211</v>
      </c>
      <c r="B51" s="23" t="s">
        <v>77</v>
      </c>
      <c r="C51" s="15">
        <f>I51*J51/10000</f>
        <v>23.42</v>
      </c>
      <c r="D51" s="15"/>
      <c r="E51" s="15"/>
      <c r="F51" s="15"/>
      <c r="G51" s="15">
        <f t="shared" si="0"/>
        <v>23.42</v>
      </c>
      <c r="H51" s="15" t="s">
        <v>36</v>
      </c>
      <c r="I51" s="15">
        <v>1171</v>
      </c>
      <c r="J51" s="15">
        <f>J23</f>
        <v>200</v>
      </c>
      <c r="K51" s="15"/>
      <c r="M51" s="28">
        <v>8</v>
      </c>
      <c r="N51" s="28" t="s">
        <v>201</v>
      </c>
      <c r="O51" s="28"/>
      <c r="P51" s="28" t="s">
        <v>23</v>
      </c>
      <c r="Q51" s="28">
        <v>48</v>
      </c>
      <c r="R51" s="28"/>
    </row>
    <row r="52" spans="1:18" ht="25.5" customHeight="1">
      <c r="A52" s="17" t="s">
        <v>214</v>
      </c>
      <c r="B52" s="23" t="s">
        <v>199</v>
      </c>
      <c r="C52" s="15">
        <f>I52*J52/10000</f>
        <v>50.12</v>
      </c>
      <c r="D52" s="15"/>
      <c r="E52" s="15"/>
      <c r="F52" s="15"/>
      <c r="G52" s="15">
        <f t="shared" si="0"/>
        <v>50.12</v>
      </c>
      <c r="H52" s="15" t="s">
        <v>36</v>
      </c>
      <c r="I52" s="15">
        <v>1253</v>
      </c>
      <c r="J52" s="15">
        <f>J9</f>
        <v>400</v>
      </c>
      <c r="K52" s="15"/>
      <c r="M52" s="28"/>
      <c r="N52" s="28" t="s">
        <v>212</v>
      </c>
      <c r="O52" s="28"/>
      <c r="P52" s="28" t="s">
        <v>94</v>
      </c>
      <c r="Q52" s="28">
        <v>1</v>
      </c>
      <c r="R52" s="28"/>
    </row>
    <row r="53" spans="1:18" ht="25.5" customHeight="1">
      <c r="A53" s="17" t="s">
        <v>296</v>
      </c>
      <c r="B53" s="23" t="s">
        <v>218</v>
      </c>
      <c r="C53" s="15">
        <f>I53*J53/10000</f>
        <v>2.8</v>
      </c>
      <c r="D53" s="15"/>
      <c r="E53" s="15"/>
      <c r="F53" s="15"/>
      <c r="G53" s="15">
        <f t="shared" si="0"/>
        <v>2.8</v>
      </c>
      <c r="H53" s="15" t="s">
        <v>94</v>
      </c>
      <c r="I53" s="15">
        <v>14</v>
      </c>
      <c r="J53" s="15">
        <v>2000</v>
      </c>
      <c r="K53" s="15"/>
      <c r="M53" s="28">
        <v>9</v>
      </c>
      <c r="N53" s="28"/>
      <c r="O53" s="28" t="s">
        <v>295</v>
      </c>
      <c r="P53" s="28"/>
      <c r="Q53" s="28"/>
      <c r="R53" s="28"/>
    </row>
    <row r="54" spans="1:18" ht="25.5" customHeight="1">
      <c r="A54" s="17" t="s">
        <v>297</v>
      </c>
      <c r="B54" s="23" t="s">
        <v>192</v>
      </c>
      <c r="C54" s="15">
        <f>I54*J54/10000</f>
        <v>90</v>
      </c>
      <c r="D54" s="15"/>
      <c r="E54" s="15"/>
      <c r="F54" s="15"/>
      <c r="G54" s="15">
        <f t="shared" si="0"/>
        <v>90</v>
      </c>
      <c r="H54" s="15" t="s">
        <v>94</v>
      </c>
      <c r="I54" s="15">
        <v>3</v>
      </c>
      <c r="J54" s="15">
        <v>300000</v>
      </c>
      <c r="K54" s="15"/>
      <c r="M54" s="28">
        <v>10</v>
      </c>
      <c r="N54" s="28" t="s">
        <v>77</v>
      </c>
      <c r="O54" s="28"/>
      <c r="P54" s="28" t="s">
        <v>36</v>
      </c>
      <c r="Q54" s="28">
        <v>1171</v>
      </c>
      <c r="R54" s="28"/>
    </row>
    <row r="55" spans="1:18" ht="25.5" customHeight="1">
      <c r="A55" s="17" t="s">
        <v>217</v>
      </c>
      <c r="B55" s="14" t="s">
        <v>218</v>
      </c>
      <c r="C55" s="15">
        <f>I55*J55/10000</f>
        <v>3.2</v>
      </c>
      <c r="D55" s="15"/>
      <c r="E55" s="15"/>
      <c r="F55" s="15"/>
      <c r="G55" s="15">
        <f t="shared" si="0"/>
        <v>3.2</v>
      </c>
      <c r="H55" s="15" t="s">
        <v>23</v>
      </c>
      <c r="I55" s="15">
        <v>32</v>
      </c>
      <c r="J55" s="15">
        <v>1000</v>
      </c>
      <c r="K55" s="15"/>
      <c r="M55" s="28">
        <v>11</v>
      </c>
      <c r="N55" s="28" t="s">
        <v>177</v>
      </c>
      <c r="O55" s="28"/>
      <c r="P55" s="28" t="s">
        <v>36</v>
      </c>
      <c r="Q55" s="28">
        <v>1253</v>
      </c>
      <c r="R55" s="28"/>
    </row>
    <row r="56" spans="1:18" ht="25.5" customHeight="1">
      <c r="A56" s="21">
        <v>4</v>
      </c>
      <c r="B56" s="14" t="s">
        <v>153</v>
      </c>
      <c r="C56" s="15">
        <f>C57+C58+C59+C60</f>
        <v>88.4</v>
      </c>
      <c r="D56" s="15"/>
      <c r="E56" s="15"/>
      <c r="F56" s="15"/>
      <c r="G56" s="15">
        <f t="shared" si="0"/>
        <v>88.4</v>
      </c>
      <c r="H56" s="15"/>
      <c r="I56" s="15"/>
      <c r="J56" s="15"/>
      <c r="K56" s="15"/>
      <c r="M56" s="28">
        <v>12</v>
      </c>
      <c r="N56" s="28" t="s">
        <v>218</v>
      </c>
      <c r="O56" s="28"/>
      <c r="P56" s="28" t="s">
        <v>94</v>
      </c>
      <c r="Q56" s="28">
        <v>14</v>
      </c>
      <c r="R56" s="28"/>
    </row>
    <row r="57" spans="1:18" ht="25.5" customHeight="1">
      <c r="A57" s="17">
        <v>4.1</v>
      </c>
      <c r="B57" s="14" t="s">
        <v>154</v>
      </c>
      <c r="C57" s="15">
        <f>I57*J57/10000</f>
        <v>23.8</v>
      </c>
      <c r="D57" s="15"/>
      <c r="E57" s="15"/>
      <c r="F57" s="15"/>
      <c r="G57" s="15">
        <f t="shared" si="0"/>
        <v>23.8</v>
      </c>
      <c r="H57" s="15" t="s">
        <v>94</v>
      </c>
      <c r="I57" s="15">
        <v>119</v>
      </c>
      <c r="J57" s="15">
        <v>2000</v>
      </c>
      <c r="K57" s="15"/>
      <c r="M57" s="28">
        <v>13</v>
      </c>
      <c r="N57" s="28" t="s">
        <v>192</v>
      </c>
      <c r="O57" s="28" t="s">
        <v>298</v>
      </c>
      <c r="P57" s="28" t="s">
        <v>94</v>
      </c>
      <c r="Q57" s="28">
        <v>3</v>
      </c>
      <c r="R57" s="28"/>
    </row>
    <row r="58" spans="1:18" ht="25.5" customHeight="1">
      <c r="A58" s="17">
        <v>4.2</v>
      </c>
      <c r="B58" s="14" t="s">
        <v>95</v>
      </c>
      <c r="C58" s="15">
        <f>I58*J58/10000</f>
        <v>23.8</v>
      </c>
      <c r="D58" s="15"/>
      <c r="E58" s="15"/>
      <c r="F58" s="15"/>
      <c r="G58" s="15">
        <f t="shared" si="0"/>
        <v>23.8</v>
      </c>
      <c r="H58" s="15" t="s">
        <v>94</v>
      </c>
      <c r="I58" s="15">
        <v>119</v>
      </c>
      <c r="J58" s="15">
        <v>2000</v>
      </c>
      <c r="K58" s="15"/>
      <c r="M58" s="28">
        <v>14</v>
      </c>
      <c r="N58" s="28" t="s">
        <v>218</v>
      </c>
      <c r="O58" s="28"/>
      <c r="P58" s="28" t="s">
        <v>23</v>
      </c>
      <c r="Q58" s="28">
        <v>32</v>
      </c>
      <c r="R58" s="28"/>
    </row>
    <row r="59" spans="1:11" ht="25.5" customHeight="1">
      <c r="A59" s="17">
        <v>4.3</v>
      </c>
      <c r="B59" s="14" t="s">
        <v>96</v>
      </c>
      <c r="C59" s="15">
        <f>I59*J59/10000</f>
        <v>0.8</v>
      </c>
      <c r="D59" s="15"/>
      <c r="E59" s="15"/>
      <c r="F59" s="15"/>
      <c r="G59" s="15">
        <f t="shared" si="0"/>
        <v>0.8</v>
      </c>
      <c r="H59" s="15" t="s">
        <v>94</v>
      </c>
      <c r="I59" s="15">
        <v>8</v>
      </c>
      <c r="J59" s="15">
        <v>1000</v>
      </c>
      <c r="K59" s="15"/>
    </row>
    <row r="60" spans="1:11" ht="25.5" customHeight="1">
      <c r="A60" s="17">
        <v>4.4</v>
      </c>
      <c r="B60" s="14" t="s">
        <v>155</v>
      </c>
      <c r="C60" s="15">
        <f>I60*J60/10000</f>
        <v>40</v>
      </c>
      <c r="D60" s="15"/>
      <c r="E60" s="15"/>
      <c r="F60" s="15"/>
      <c r="G60" s="15">
        <f t="shared" si="0"/>
        <v>40</v>
      </c>
      <c r="H60" s="15" t="s">
        <v>52</v>
      </c>
      <c r="I60" s="15">
        <v>4</v>
      </c>
      <c r="J60" s="15">
        <v>100000</v>
      </c>
      <c r="K60" s="15"/>
    </row>
    <row r="61" spans="1:11" ht="25.5" customHeight="1">
      <c r="A61" s="6">
        <v>5</v>
      </c>
      <c r="B61" s="14" t="s">
        <v>139</v>
      </c>
      <c r="C61" s="15">
        <f>SUM(C62:C72)</f>
        <v>0</v>
      </c>
      <c r="D61" s="15">
        <f>SUM(D62:D72)</f>
        <v>437.38000000000005</v>
      </c>
      <c r="E61" s="15">
        <f>SUM(E62:E72)</f>
        <v>27</v>
      </c>
      <c r="F61" s="15">
        <f>SUM(F62:F70)</f>
        <v>0</v>
      </c>
      <c r="G61" s="15">
        <f t="shared" si="0"/>
        <v>464.38000000000005</v>
      </c>
      <c r="H61" s="15"/>
      <c r="I61" s="15"/>
      <c r="J61" s="15"/>
      <c r="K61" s="26"/>
    </row>
    <row r="62" spans="1:11" ht="25.5" customHeight="1">
      <c r="A62" s="6">
        <v>5.1</v>
      </c>
      <c r="B62" s="14" t="s">
        <v>253</v>
      </c>
      <c r="C62" s="15"/>
      <c r="D62" s="15">
        <f>E62*0.1</f>
        <v>2.7</v>
      </c>
      <c r="E62" s="15">
        <v>27</v>
      </c>
      <c r="F62" s="15"/>
      <c r="G62" s="15">
        <f aca="true" t="shared" si="4" ref="G62:G72">SUM(D62:F62)</f>
        <v>29.7</v>
      </c>
      <c r="H62" s="15" t="s">
        <v>141</v>
      </c>
      <c r="I62" s="15">
        <v>1</v>
      </c>
      <c r="J62" s="15">
        <v>297000</v>
      </c>
      <c r="K62" s="26"/>
    </row>
    <row r="63" spans="1:11" ht="25.5" customHeight="1">
      <c r="A63" s="6">
        <v>5.2</v>
      </c>
      <c r="B63" s="14" t="s">
        <v>299</v>
      </c>
      <c r="C63" s="15"/>
      <c r="D63" s="15">
        <f aca="true" t="shared" si="5" ref="D63:D72">I63*J63/10000</f>
        <v>60</v>
      </c>
      <c r="E63" s="15"/>
      <c r="F63" s="15"/>
      <c r="G63" s="15">
        <f t="shared" si="4"/>
        <v>60</v>
      </c>
      <c r="H63" s="15" t="s">
        <v>143</v>
      </c>
      <c r="I63" s="15">
        <v>2</v>
      </c>
      <c r="J63" s="15">
        <v>300000</v>
      </c>
      <c r="K63" s="26"/>
    </row>
    <row r="64" spans="1:11" ht="25.5" customHeight="1">
      <c r="A64" s="6">
        <v>5.3</v>
      </c>
      <c r="B64" s="14" t="s">
        <v>144</v>
      </c>
      <c r="C64" s="15"/>
      <c r="D64" s="15">
        <f t="shared" si="5"/>
        <v>84</v>
      </c>
      <c r="E64" s="15"/>
      <c r="F64" s="15"/>
      <c r="G64" s="15">
        <f t="shared" si="4"/>
        <v>84</v>
      </c>
      <c r="H64" s="15" t="s">
        <v>143</v>
      </c>
      <c r="I64" s="15">
        <v>10</v>
      </c>
      <c r="J64" s="15">
        <v>84000</v>
      </c>
      <c r="K64" s="26"/>
    </row>
    <row r="65" spans="1:11" ht="25.5" customHeight="1">
      <c r="A65" s="6">
        <v>5.4</v>
      </c>
      <c r="B65" s="14" t="s">
        <v>145</v>
      </c>
      <c r="C65" s="15"/>
      <c r="D65" s="15">
        <f t="shared" si="5"/>
        <v>100</v>
      </c>
      <c r="E65" s="15"/>
      <c r="F65" s="15"/>
      <c r="G65" s="15">
        <f t="shared" si="4"/>
        <v>100</v>
      </c>
      <c r="H65" s="15" t="s">
        <v>54</v>
      </c>
      <c r="I65" s="15">
        <v>1</v>
      </c>
      <c r="J65" s="15">
        <v>1000000</v>
      </c>
      <c r="K65" s="26"/>
    </row>
    <row r="66" spans="1:11" ht="25.5" customHeight="1">
      <c r="A66" s="6">
        <v>5.5</v>
      </c>
      <c r="B66" s="14" t="s">
        <v>146</v>
      </c>
      <c r="C66" s="15"/>
      <c r="D66" s="15">
        <f t="shared" si="5"/>
        <v>109.25</v>
      </c>
      <c r="E66" s="15"/>
      <c r="F66" s="15"/>
      <c r="G66" s="15">
        <f t="shared" si="4"/>
        <v>109.25</v>
      </c>
      <c r="H66" s="15" t="s">
        <v>147</v>
      </c>
      <c r="I66" s="15">
        <v>437</v>
      </c>
      <c r="J66" s="15">
        <v>2500</v>
      </c>
      <c r="K66" s="26"/>
    </row>
    <row r="67" spans="1:11" ht="25.5" customHeight="1">
      <c r="A67" s="6">
        <v>5.6</v>
      </c>
      <c r="B67" s="14" t="s">
        <v>148</v>
      </c>
      <c r="C67" s="15"/>
      <c r="D67" s="15">
        <f t="shared" si="5"/>
        <v>57.78</v>
      </c>
      <c r="E67" s="15"/>
      <c r="F67" s="15"/>
      <c r="G67" s="15">
        <f t="shared" si="4"/>
        <v>57.78</v>
      </c>
      <c r="H67" s="15" t="s">
        <v>147</v>
      </c>
      <c r="I67" s="15">
        <v>321</v>
      </c>
      <c r="J67" s="15">
        <v>1800</v>
      </c>
      <c r="K67" s="26"/>
    </row>
    <row r="68" spans="1:11" ht="25.5" customHeight="1">
      <c r="A68" s="6">
        <v>5.7</v>
      </c>
      <c r="B68" s="14" t="s">
        <v>149</v>
      </c>
      <c r="C68" s="15"/>
      <c r="D68" s="15">
        <f t="shared" si="5"/>
        <v>3.6</v>
      </c>
      <c r="E68" s="15"/>
      <c r="F68" s="15"/>
      <c r="G68" s="15">
        <f t="shared" si="4"/>
        <v>3.6</v>
      </c>
      <c r="H68" s="15" t="s">
        <v>147</v>
      </c>
      <c r="I68" s="15">
        <v>36</v>
      </c>
      <c r="J68" s="15">
        <v>1000</v>
      </c>
      <c r="K68" s="26"/>
    </row>
    <row r="69" spans="1:11" ht="25.5" customHeight="1">
      <c r="A69" s="6">
        <v>5.8</v>
      </c>
      <c r="B69" s="14" t="s">
        <v>254</v>
      </c>
      <c r="C69" s="15"/>
      <c r="D69" s="15">
        <f t="shared" si="5"/>
        <v>8.2</v>
      </c>
      <c r="E69" s="15"/>
      <c r="F69" s="15"/>
      <c r="G69" s="15">
        <f t="shared" si="4"/>
        <v>8.2</v>
      </c>
      <c r="H69" s="15" t="s">
        <v>147</v>
      </c>
      <c r="I69" s="15">
        <v>82</v>
      </c>
      <c r="J69" s="15">
        <v>1000</v>
      </c>
      <c r="K69" s="26"/>
    </row>
    <row r="70" spans="1:11" ht="25.5" customHeight="1">
      <c r="A70" s="6">
        <v>5.9</v>
      </c>
      <c r="B70" s="14" t="s">
        <v>150</v>
      </c>
      <c r="C70" s="15"/>
      <c r="D70" s="15">
        <f t="shared" si="5"/>
        <v>0.85</v>
      </c>
      <c r="E70" s="15"/>
      <c r="F70" s="15"/>
      <c r="G70" s="15">
        <f t="shared" si="4"/>
        <v>0.85</v>
      </c>
      <c r="H70" s="15" t="s">
        <v>147</v>
      </c>
      <c r="I70" s="15">
        <v>17</v>
      </c>
      <c r="J70" s="15">
        <v>500</v>
      </c>
      <c r="K70" s="26"/>
    </row>
    <row r="71" spans="1:11" ht="25.5" customHeight="1">
      <c r="A71" s="32">
        <v>5.1</v>
      </c>
      <c r="B71" s="14" t="s">
        <v>151</v>
      </c>
      <c r="C71" s="15"/>
      <c r="D71" s="15">
        <f t="shared" si="5"/>
        <v>3</v>
      </c>
      <c r="E71" s="15"/>
      <c r="F71" s="15"/>
      <c r="G71" s="15">
        <f t="shared" si="4"/>
        <v>3</v>
      </c>
      <c r="H71" s="15" t="s">
        <v>94</v>
      </c>
      <c r="I71" s="15">
        <v>10</v>
      </c>
      <c r="J71" s="15">
        <v>3000</v>
      </c>
      <c r="K71" s="26"/>
    </row>
    <row r="72" spans="1:11" ht="25.5" customHeight="1">
      <c r="A72" s="32">
        <v>5.11</v>
      </c>
      <c r="B72" s="14" t="s">
        <v>152</v>
      </c>
      <c r="C72" s="15"/>
      <c r="D72" s="15">
        <f t="shared" si="5"/>
        <v>8</v>
      </c>
      <c r="E72" s="15"/>
      <c r="F72" s="15"/>
      <c r="G72" s="15">
        <f t="shared" si="4"/>
        <v>8</v>
      </c>
      <c r="H72" s="15" t="s">
        <v>94</v>
      </c>
      <c r="I72" s="15">
        <v>8</v>
      </c>
      <c r="J72" s="15">
        <v>10000</v>
      </c>
      <c r="K72" s="26"/>
    </row>
    <row r="73" spans="1:11" ht="25.5" customHeight="1">
      <c r="A73" s="10" t="s">
        <v>19</v>
      </c>
      <c r="B73" s="33" t="s">
        <v>157</v>
      </c>
      <c r="C73" s="10">
        <f>C74</f>
        <v>532.832931</v>
      </c>
      <c r="D73" s="10"/>
      <c r="E73" s="10"/>
      <c r="F73" s="10"/>
      <c r="G73" s="10">
        <f aca="true" t="shared" si="6" ref="G73:G93">SUM(C73:F73)</f>
        <v>532.832931</v>
      </c>
      <c r="H73" s="10"/>
      <c r="I73" s="10"/>
      <c r="J73" s="10"/>
      <c r="K73" s="15"/>
    </row>
    <row r="74" spans="1:11" ht="25.5" customHeight="1">
      <c r="A74" s="6">
        <v>1</v>
      </c>
      <c r="B74" s="14" t="s">
        <v>158</v>
      </c>
      <c r="C74" s="15">
        <f>SUM(C75:C80)</f>
        <v>532.832931</v>
      </c>
      <c r="D74" s="15"/>
      <c r="E74" s="15"/>
      <c r="F74" s="15"/>
      <c r="G74" s="15">
        <f t="shared" si="6"/>
        <v>532.832931</v>
      </c>
      <c r="H74" s="15" t="s">
        <v>36</v>
      </c>
      <c r="I74" s="15">
        <v>8000</v>
      </c>
      <c r="J74" s="15">
        <f>C74/I74*10000</f>
        <v>666.0411637500001</v>
      </c>
      <c r="K74" s="26"/>
    </row>
    <row r="75" spans="1:11" ht="25.5" customHeight="1">
      <c r="A75" s="6">
        <v>1.1</v>
      </c>
      <c r="B75" s="34" t="s">
        <v>160</v>
      </c>
      <c r="C75" s="15">
        <f aca="true" t="shared" si="7" ref="C75:C81">I75*J75/10000</f>
        <v>19.507899999999996</v>
      </c>
      <c r="D75" s="15"/>
      <c r="E75" s="15"/>
      <c r="F75" s="15"/>
      <c r="G75" s="15">
        <f t="shared" si="6"/>
        <v>19.507899999999996</v>
      </c>
      <c r="H75" s="15" t="s">
        <v>100</v>
      </c>
      <c r="I75" s="15">
        <v>5230</v>
      </c>
      <c r="J75" s="15">
        <v>37.3</v>
      </c>
      <c r="K75" s="26"/>
    </row>
    <row r="76" spans="1:11" ht="39" customHeight="1">
      <c r="A76" s="6">
        <v>1.2</v>
      </c>
      <c r="B76" s="35" t="s">
        <v>162</v>
      </c>
      <c r="C76" s="15">
        <f t="shared" si="7"/>
        <v>107.14998</v>
      </c>
      <c r="D76" s="15"/>
      <c r="E76" s="15"/>
      <c r="F76" s="15"/>
      <c r="G76" s="15">
        <f t="shared" si="6"/>
        <v>107.14998</v>
      </c>
      <c r="H76" s="15" t="s">
        <v>100</v>
      </c>
      <c r="I76" s="15">
        <v>1204</v>
      </c>
      <c r="J76" s="15">
        <v>889.95</v>
      </c>
      <c r="K76" s="26"/>
    </row>
    <row r="77" spans="1:11" ht="25.5" customHeight="1">
      <c r="A77" s="6">
        <v>1.3</v>
      </c>
      <c r="B77" s="35" t="s">
        <v>164</v>
      </c>
      <c r="C77" s="15">
        <f t="shared" si="7"/>
        <v>203.63978</v>
      </c>
      <c r="D77" s="15"/>
      <c r="E77" s="15"/>
      <c r="F77" s="15"/>
      <c r="G77" s="15">
        <f t="shared" si="6"/>
        <v>203.63978</v>
      </c>
      <c r="H77" s="15" t="s">
        <v>165</v>
      </c>
      <c r="I77" s="15">
        <v>265</v>
      </c>
      <c r="J77" s="15">
        <v>7684.52</v>
      </c>
      <c r="K77" s="26"/>
    </row>
    <row r="78" spans="1:11" ht="25.5" customHeight="1">
      <c r="A78" s="6">
        <v>1.4</v>
      </c>
      <c r="B78" s="34" t="s">
        <v>167</v>
      </c>
      <c r="C78" s="15">
        <f t="shared" si="7"/>
        <v>82.34737100000001</v>
      </c>
      <c r="D78" s="15"/>
      <c r="E78" s="15"/>
      <c r="F78" s="15"/>
      <c r="G78" s="15">
        <f t="shared" si="6"/>
        <v>82.34737100000001</v>
      </c>
      <c r="H78" s="15" t="s">
        <v>165</v>
      </c>
      <c r="I78" s="15">
        <v>83</v>
      </c>
      <c r="J78" s="15">
        <v>9921.37</v>
      </c>
      <c r="K78" s="26"/>
    </row>
    <row r="79" spans="1:11" ht="25.5" customHeight="1">
      <c r="A79" s="6">
        <v>1.5</v>
      </c>
      <c r="B79" s="34" t="s">
        <v>169</v>
      </c>
      <c r="C79" s="15">
        <f t="shared" si="7"/>
        <v>116.6629</v>
      </c>
      <c r="D79" s="15"/>
      <c r="E79" s="15"/>
      <c r="F79" s="15"/>
      <c r="G79" s="15">
        <f t="shared" si="6"/>
        <v>116.6629</v>
      </c>
      <c r="H79" s="15" t="s">
        <v>100</v>
      </c>
      <c r="I79" s="15">
        <v>2300</v>
      </c>
      <c r="J79" s="15">
        <v>507.23</v>
      </c>
      <c r="K79" s="26"/>
    </row>
    <row r="80" spans="1:11" ht="25.5" customHeight="1">
      <c r="A80" s="6">
        <v>1.6</v>
      </c>
      <c r="B80" s="35" t="s">
        <v>171</v>
      </c>
      <c r="C80" s="15">
        <f t="shared" si="7"/>
        <v>3.525</v>
      </c>
      <c r="D80" s="15"/>
      <c r="E80" s="15"/>
      <c r="F80" s="15"/>
      <c r="G80" s="15">
        <f t="shared" si="6"/>
        <v>3.525</v>
      </c>
      <c r="H80" s="15" t="s">
        <v>172</v>
      </c>
      <c r="I80" s="15">
        <v>235</v>
      </c>
      <c r="J80" s="15">
        <v>150</v>
      </c>
      <c r="K80" s="26"/>
    </row>
    <row r="81" spans="1:11" ht="25.5" customHeight="1">
      <c r="A81" s="8" t="s">
        <v>21</v>
      </c>
      <c r="B81" s="9" t="s">
        <v>173</v>
      </c>
      <c r="C81" s="10">
        <f t="shared" si="7"/>
        <v>2800</v>
      </c>
      <c r="D81" s="10"/>
      <c r="E81" s="10"/>
      <c r="F81" s="10"/>
      <c r="G81" s="10">
        <f t="shared" si="6"/>
        <v>2800</v>
      </c>
      <c r="H81" s="10" t="s">
        <v>23</v>
      </c>
      <c r="I81" s="10">
        <v>1000</v>
      </c>
      <c r="J81" s="10">
        <v>28000</v>
      </c>
      <c r="K81" s="26"/>
    </row>
    <row r="82" spans="1:11" ht="25.5" customHeight="1">
      <c r="A82" s="8" t="s">
        <v>24</v>
      </c>
      <c r="B82" s="9" t="s">
        <v>174</v>
      </c>
      <c r="C82" s="10">
        <f>C83+C84+C85</f>
        <v>725.9735999999999</v>
      </c>
      <c r="D82" s="10"/>
      <c r="E82" s="10"/>
      <c r="F82" s="10"/>
      <c r="G82" s="10">
        <f t="shared" si="6"/>
        <v>725.9735999999999</v>
      </c>
      <c r="H82" s="10"/>
      <c r="I82" s="10"/>
      <c r="J82" s="10"/>
      <c r="K82" s="26"/>
    </row>
    <row r="83" spans="1:11" ht="25.5" customHeight="1">
      <c r="A83" s="6">
        <v>1</v>
      </c>
      <c r="B83" s="35" t="s">
        <v>118</v>
      </c>
      <c r="C83" s="15">
        <f>I83*J83/10000</f>
        <v>14.094</v>
      </c>
      <c r="D83" s="15"/>
      <c r="E83" s="15"/>
      <c r="F83" s="15"/>
      <c r="G83" s="15">
        <f t="shared" si="6"/>
        <v>14.094</v>
      </c>
      <c r="H83" s="15" t="s">
        <v>100</v>
      </c>
      <c r="I83" s="15">
        <v>18792</v>
      </c>
      <c r="J83" s="15">
        <v>7.5</v>
      </c>
      <c r="K83" s="26"/>
    </row>
    <row r="84" spans="1:11" ht="25.5" customHeight="1">
      <c r="A84" s="6">
        <v>2</v>
      </c>
      <c r="B84" s="35" t="s">
        <v>116</v>
      </c>
      <c r="C84" s="15">
        <f>I84*J84/10000</f>
        <v>469.8</v>
      </c>
      <c r="D84" s="15"/>
      <c r="E84" s="15"/>
      <c r="F84" s="15"/>
      <c r="G84" s="15">
        <f t="shared" si="6"/>
        <v>469.8</v>
      </c>
      <c r="H84" s="15" t="s">
        <v>100</v>
      </c>
      <c r="I84" s="15">
        <v>156600</v>
      </c>
      <c r="J84" s="15">
        <v>30</v>
      </c>
      <c r="K84" s="26"/>
    </row>
    <row r="85" spans="1:11" ht="25.5" customHeight="1">
      <c r="A85" s="6">
        <v>3</v>
      </c>
      <c r="B85" s="35" t="s">
        <v>194</v>
      </c>
      <c r="C85" s="15">
        <f>I85*J85/10000</f>
        <v>242.07959999999994</v>
      </c>
      <c r="D85" s="15"/>
      <c r="E85" s="15"/>
      <c r="F85" s="15"/>
      <c r="G85" s="15">
        <f t="shared" si="6"/>
        <v>242.07959999999994</v>
      </c>
      <c r="H85" s="15" t="s">
        <v>100</v>
      </c>
      <c r="I85" s="15">
        <f>I86*0.6</f>
        <v>69165.59999999999</v>
      </c>
      <c r="J85" s="15">
        <v>35</v>
      </c>
      <c r="K85" s="26"/>
    </row>
    <row r="86" spans="1:11" ht="25.5" customHeight="1">
      <c r="A86" s="8" t="s">
        <v>300</v>
      </c>
      <c r="B86" s="9" t="s">
        <v>121</v>
      </c>
      <c r="C86" s="10">
        <f>I86*J86/10000</f>
        <v>230.552</v>
      </c>
      <c r="D86" s="10"/>
      <c r="E86" s="10"/>
      <c r="F86" s="10"/>
      <c r="G86" s="10">
        <f t="shared" si="6"/>
        <v>230.552</v>
      </c>
      <c r="H86" s="10" t="s">
        <v>36</v>
      </c>
      <c r="I86" s="10">
        <v>115276</v>
      </c>
      <c r="J86" s="10">
        <v>20</v>
      </c>
      <c r="K86" s="26"/>
    </row>
    <row r="87" spans="1:11" ht="25.5" customHeight="1">
      <c r="A87" s="8" t="s">
        <v>301</v>
      </c>
      <c r="B87" s="9" t="s">
        <v>175</v>
      </c>
      <c r="C87" s="10">
        <f>C88+C89+C90+C91+C92+C93</f>
        <v>787.5369999999999</v>
      </c>
      <c r="D87" s="10"/>
      <c r="E87" s="10"/>
      <c r="F87" s="10"/>
      <c r="G87" s="10">
        <f t="shared" si="6"/>
        <v>787.5369999999999</v>
      </c>
      <c r="H87" s="10"/>
      <c r="I87" s="10"/>
      <c r="J87" s="10"/>
      <c r="K87" s="46"/>
    </row>
    <row r="88" spans="1:11" ht="25.5" customHeight="1">
      <c r="A88" s="21">
        <v>1</v>
      </c>
      <c r="B88" s="34" t="s">
        <v>230</v>
      </c>
      <c r="C88" s="15">
        <f aca="true" t="shared" si="8" ref="C88:C93">I88*J88/10000</f>
        <v>51.4395</v>
      </c>
      <c r="D88" s="15"/>
      <c r="E88" s="15"/>
      <c r="F88" s="15"/>
      <c r="G88" s="15">
        <f t="shared" si="6"/>
        <v>51.4395</v>
      </c>
      <c r="H88" s="15" t="s">
        <v>36</v>
      </c>
      <c r="I88" s="15">
        <v>14697</v>
      </c>
      <c r="J88" s="15">
        <v>35</v>
      </c>
      <c r="K88" s="46"/>
    </row>
    <row r="89" spans="1:11" ht="25.5" customHeight="1">
      <c r="A89" s="21">
        <v>2</v>
      </c>
      <c r="B89" s="35" t="s">
        <v>177</v>
      </c>
      <c r="C89" s="15">
        <f t="shared" si="8"/>
        <v>662.5775</v>
      </c>
      <c r="D89" s="15"/>
      <c r="E89" s="15"/>
      <c r="F89" s="15"/>
      <c r="G89" s="15">
        <f t="shared" si="6"/>
        <v>662.5775</v>
      </c>
      <c r="H89" s="15" t="s">
        <v>36</v>
      </c>
      <c r="I89" s="15">
        <v>69745</v>
      </c>
      <c r="J89" s="15">
        <v>95</v>
      </c>
      <c r="K89" s="46"/>
    </row>
    <row r="90" spans="1:11" ht="25.5" customHeight="1">
      <c r="A90" s="21">
        <v>3</v>
      </c>
      <c r="B90" s="35" t="s">
        <v>231</v>
      </c>
      <c r="C90" s="15">
        <f t="shared" si="8"/>
        <v>4.51</v>
      </c>
      <c r="D90" s="15"/>
      <c r="E90" s="15"/>
      <c r="F90" s="15"/>
      <c r="G90" s="15">
        <f t="shared" si="6"/>
        <v>4.51</v>
      </c>
      <c r="H90" s="15" t="s">
        <v>36</v>
      </c>
      <c r="I90" s="15">
        <v>451</v>
      </c>
      <c r="J90" s="15">
        <v>100</v>
      </c>
      <c r="K90" s="47"/>
    </row>
    <row r="91" spans="1:11" ht="25.5" customHeight="1">
      <c r="A91" s="21">
        <v>4</v>
      </c>
      <c r="B91" s="35" t="s">
        <v>232</v>
      </c>
      <c r="C91" s="15">
        <f t="shared" si="8"/>
        <v>6.14</v>
      </c>
      <c r="D91" s="15"/>
      <c r="E91" s="15"/>
      <c r="F91" s="15"/>
      <c r="G91" s="15">
        <f t="shared" si="6"/>
        <v>6.14</v>
      </c>
      <c r="H91" s="15" t="s">
        <v>36</v>
      </c>
      <c r="I91" s="15">
        <v>614</v>
      </c>
      <c r="J91" s="15">
        <v>100</v>
      </c>
      <c r="K91" s="47"/>
    </row>
    <row r="92" spans="1:11" ht="25.5" customHeight="1">
      <c r="A92" s="21">
        <v>5</v>
      </c>
      <c r="B92" s="35" t="s">
        <v>233</v>
      </c>
      <c r="C92" s="15">
        <f t="shared" si="8"/>
        <v>54.35</v>
      </c>
      <c r="D92" s="15"/>
      <c r="E92" s="15"/>
      <c r="F92" s="15"/>
      <c r="G92" s="15">
        <f t="shared" si="6"/>
        <v>54.35</v>
      </c>
      <c r="H92" s="15" t="s">
        <v>36</v>
      </c>
      <c r="I92" s="15">
        <v>5435</v>
      </c>
      <c r="J92" s="15">
        <v>100</v>
      </c>
      <c r="K92" s="47"/>
    </row>
    <row r="93" spans="1:11" ht="25.5" customHeight="1">
      <c r="A93" s="21">
        <v>6</v>
      </c>
      <c r="B93" s="35" t="s">
        <v>234</v>
      </c>
      <c r="C93" s="15">
        <f t="shared" si="8"/>
        <v>8.52</v>
      </c>
      <c r="D93" s="15"/>
      <c r="E93" s="15"/>
      <c r="F93" s="15"/>
      <c r="G93" s="15">
        <f t="shared" si="6"/>
        <v>8.52</v>
      </c>
      <c r="H93" s="15" t="s">
        <v>94</v>
      </c>
      <c r="I93" s="15">
        <v>284</v>
      </c>
      <c r="J93" s="15">
        <v>300</v>
      </c>
      <c r="K93" s="47"/>
    </row>
    <row r="94" spans="1:11" ht="25.5" customHeight="1">
      <c r="A94" s="29"/>
      <c r="B94" s="36"/>
      <c r="C94" s="29"/>
      <c r="D94" s="29"/>
      <c r="E94" s="29"/>
      <c r="F94" s="29"/>
      <c r="G94" s="29"/>
      <c r="H94" s="29"/>
      <c r="I94" s="29"/>
      <c r="J94" s="29"/>
      <c r="K94" s="29"/>
    </row>
    <row r="95" spans="1:11" ht="25.5" customHeight="1">
      <c r="A95" s="6" t="s">
        <v>60</v>
      </c>
      <c r="B95" s="35" t="s">
        <v>10</v>
      </c>
      <c r="C95" s="37"/>
      <c r="D95" s="37"/>
      <c r="E95" s="37"/>
      <c r="F95" s="15">
        <f>SUM(F96:F104)</f>
        <v>1639.3394637464203</v>
      </c>
      <c r="G95" s="15">
        <f aca="true" t="shared" si="9" ref="G95:G104">SUM(C95:F95)</f>
        <v>1639.3394637464203</v>
      </c>
      <c r="H95" s="15"/>
      <c r="I95" s="48"/>
      <c r="J95" s="48"/>
      <c r="K95" s="26">
        <f>G95/G110*100</f>
        <v>6.840510644681956</v>
      </c>
    </row>
    <row r="96" spans="1:11" ht="25.5" customHeight="1">
      <c r="A96" s="24">
        <v>1</v>
      </c>
      <c r="B96" s="35" t="s">
        <v>61</v>
      </c>
      <c r="C96" s="6"/>
      <c r="D96" s="6"/>
      <c r="E96" s="6"/>
      <c r="F96" s="15">
        <f>(140+(G5-10000)*0.01)</f>
        <v>251.84624431000003</v>
      </c>
      <c r="G96" s="15">
        <f t="shared" si="9"/>
        <v>251.84624431000003</v>
      </c>
      <c r="H96" s="15"/>
      <c r="I96" s="49"/>
      <c r="J96" s="50"/>
      <c r="K96" s="29"/>
    </row>
    <row r="97" spans="1:11" ht="25.5" customHeight="1">
      <c r="A97" s="24">
        <v>2</v>
      </c>
      <c r="B97" s="35" t="s">
        <v>63</v>
      </c>
      <c r="C97" s="38"/>
      <c r="D97" s="38"/>
      <c r="E97" s="38"/>
      <c r="F97" s="15">
        <f>((393.4*(40000-20000)+(G5-20000)*(708.2-393.4))/(40000-20000))</f>
        <v>412.04598854394004</v>
      </c>
      <c r="G97" s="15">
        <f t="shared" si="9"/>
        <v>412.04598854394004</v>
      </c>
      <c r="H97" s="15"/>
      <c r="I97" s="49"/>
      <c r="J97" s="51"/>
      <c r="K97" s="29"/>
    </row>
    <row r="98" spans="1:11" ht="25.5" customHeight="1">
      <c r="A98" s="24">
        <v>3</v>
      </c>
      <c r="B98" s="34" t="s">
        <v>255</v>
      </c>
      <c r="C98" s="6"/>
      <c r="D98" s="6"/>
      <c r="E98" s="6"/>
      <c r="F98" s="15">
        <f>G5*0.005</f>
        <v>105.92312215500002</v>
      </c>
      <c r="G98" s="15">
        <f t="shared" si="9"/>
        <v>105.92312215500002</v>
      </c>
      <c r="H98" s="15"/>
      <c r="I98" s="42"/>
      <c r="J98" s="42"/>
      <c r="K98" s="29"/>
    </row>
    <row r="99" spans="1:11" ht="25.5" customHeight="1">
      <c r="A99" s="24">
        <v>4</v>
      </c>
      <c r="B99" s="35" t="s">
        <v>256</v>
      </c>
      <c r="C99" s="6"/>
      <c r="D99" s="6"/>
      <c r="E99" s="6"/>
      <c r="F99" s="15">
        <f>G5*0.005</f>
        <v>105.92312215500002</v>
      </c>
      <c r="G99" s="15">
        <f t="shared" si="9"/>
        <v>105.92312215500002</v>
      </c>
      <c r="H99" s="15"/>
      <c r="I99" s="42"/>
      <c r="J99" s="42"/>
      <c r="K99" s="29"/>
    </row>
    <row r="100" spans="1:11" ht="25.5" customHeight="1">
      <c r="A100" s="24">
        <v>5</v>
      </c>
      <c r="B100" s="35" t="s">
        <v>257</v>
      </c>
      <c r="C100" s="6"/>
      <c r="D100" s="6"/>
      <c r="E100" s="6"/>
      <c r="F100" s="15">
        <f>(566.8*(40000-20000)+(G5-20000)*(1054-566.8))/(40000-20000)</f>
        <v>595.65745113916</v>
      </c>
      <c r="G100" s="15">
        <f t="shared" si="9"/>
        <v>595.65745113916</v>
      </c>
      <c r="H100" s="15"/>
      <c r="I100" s="42"/>
      <c r="J100" s="42"/>
      <c r="K100" s="29"/>
    </row>
    <row r="101" spans="1:11" ht="25.5" customHeight="1">
      <c r="A101" s="24">
        <v>6</v>
      </c>
      <c r="B101" s="35" t="s">
        <v>68</v>
      </c>
      <c r="C101" s="6"/>
      <c r="D101" s="6"/>
      <c r="E101" s="6"/>
      <c r="F101" s="15">
        <f>(F100+F99)*0.065</f>
        <v>45.6027372641204</v>
      </c>
      <c r="G101" s="15">
        <f t="shared" si="9"/>
        <v>45.6027372641204</v>
      </c>
      <c r="H101" s="15"/>
      <c r="I101" s="42"/>
      <c r="J101" s="42"/>
      <c r="K101" s="52"/>
    </row>
    <row r="102" spans="1:11" ht="25.5" customHeight="1">
      <c r="A102" s="24">
        <v>7</v>
      </c>
      <c r="B102" s="35" t="s">
        <v>69</v>
      </c>
      <c r="C102" s="38"/>
      <c r="D102" s="38"/>
      <c r="E102" s="38"/>
      <c r="F102" s="15">
        <f>(G5-10000)*0.0005+2.75+2.8+1+14+10+1</f>
        <v>37.1423122155</v>
      </c>
      <c r="G102" s="15">
        <f t="shared" si="9"/>
        <v>37.1423122155</v>
      </c>
      <c r="H102" s="15"/>
      <c r="I102" s="42"/>
      <c r="J102" s="42"/>
      <c r="K102" s="52"/>
    </row>
    <row r="103" spans="1:11" ht="25.5" customHeight="1">
      <c r="A103" s="24">
        <v>8</v>
      </c>
      <c r="B103" s="39" t="s">
        <v>258</v>
      </c>
      <c r="C103" s="35"/>
      <c r="D103" s="35"/>
      <c r="E103" s="35"/>
      <c r="F103" s="15">
        <f>7.5/3000*G5</f>
        <v>52.96156107750001</v>
      </c>
      <c r="G103" s="15">
        <f t="shared" si="9"/>
        <v>52.96156107750001</v>
      </c>
      <c r="H103" s="15"/>
      <c r="I103" s="42"/>
      <c r="J103" s="42"/>
      <c r="K103" s="52"/>
    </row>
    <row r="104" spans="1:11" ht="25.5" customHeight="1">
      <c r="A104" s="24">
        <v>9</v>
      </c>
      <c r="B104" s="35" t="s">
        <v>259</v>
      </c>
      <c r="C104" s="35"/>
      <c r="D104" s="35"/>
      <c r="E104" s="35"/>
      <c r="F104" s="15">
        <f>(30*(50000-10000)+(G5-10000)*(38-30))/(50000-10000)</f>
        <v>32.2369248862</v>
      </c>
      <c r="G104" s="15">
        <f t="shared" si="9"/>
        <v>32.2369248862</v>
      </c>
      <c r="H104" s="15"/>
      <c r="I104" s="42"/>
      <c r="J104" s="42"/>
      <c r="K104" s="35"/>
    </row>
    <row r="105" spans="1:11" ht="25.5" customHeight="1">
      <c r="A105" s="24"/>
      <c r="B105" s="35"/>
      <c r="C105" s="40"/>
      <c r="D105" s="29"/>
      <c r="E105" s="41"/>
      <c r="F105" s="22"/>
      <c r="G105" s="15"/>
      <c r="H105" s="15"/>
      <c r="I105" s="42"/>
      <c r="J105" s="42"/>
      <c r="K105" s="35"/>
    </row>
    <row r="106" spans="1:11" ht="25.5" customHeight="1">
      <c r="A106" s="24"/>
      <c r="B106" s="35"/>
      <c r="C106" s="40"/>
      <c r="D106" s="29"/>
      <c r="E106" s="41"/>
      <c r="F106" s="22"/>
      <c r="G106" s="15"/>
      <c r="H106" s="15"/>
      <c r="I106" s="42"/>
      <c r="J106" s="42"/>
      <c r="K106" s="35"/>
    </row>
    <row r="107" spans="1:11" ht="25.5" customHeight="1">
      <c r="A107" s="35" t="s">
        <v>27</v>
      </c>
      <c r="B107" s="35" t="s">
        <v>260</v>
      </c>
      <c r="C107" s="40"/>
      <c r="D107" s="29"/>
      <c r="E107" s="41"/>
      <c r="F107" s="22">
        <f>(G5+G95)*0.05</f>
        <v>1141.1981947373213</v>
      </c>
      <c r="G107" s="15">
        <f>F107</f>
        <v>1141.1981947373213</v>
      </c>
      <c r="H107" s="15"/>
      <c r="I107" s="42"/>
      <c r="J107" s="42"/>
      <c r="K107" s="26">
        <f>G107/G110*100</f>
        <v>4.761904761904763</v>
      </c>
    </row>
    <row r="108" spans="1:11" ht="25.5" customHeight="1">
      <c r="A108" s="35"/>
      <c r="B108" s="35"/>
      <c r="C108" s="40"/>
      <c r="D108" s="29"/>
      <c r="E108" s="41"/>
      <c r="F108" s="42"/>
      <c r="G108" s="42"/>
      <c r="H108" s="42"/>
      <c r="I108" s="42"/>
      <c r="J108" s="42"/>
      <c r="K108" s="35"/>
    </row>
    <row r="109" spans="1:11" ht="25.5" customHeight="1">
      <c r="A109" s="6"/>
      <c r="B109" s="35"/>
      <c r="C109" s="6"/>
      <c r="D109" s="6"/>
      <c r="E109" s="6"/>
      <c r="F109" s="42"/>
      <c r="G109" s="15"/>
      <c r="H109" s="43"/>
      <c r="I109" s="49"/>
      <c r="J109" s="19"/>
      <c r="K109" s="52"/>
    </row>
    <row r="110" spans="1:11" ht="25.5" customHeight="1">
      <c r="A110" s="44"/>
      <c r="B110" s="45" t="s">
        <v>30</v>
      </c>
      <c r="C110" s="15">
        <f>C5+C95+C107</f>
        <v>20720.244431000003</v>
      </c>
      <c r="D110" s="15"/>
      <c r="E110" s="15"/>
      <c r="F110" s="15">
        <f>F5+F95+F107</f>
        <v>2780.5376584837413</v>
      </c>
      <c r="G110" s="15">
        <f>G5+G95+G107</f>
        <v>23965.162089483743</v>
      </c>
      <c r="H110" s="15"/>
      <c r="I110" s="15"/>
      <c r="J110" s="15"/>
      <c r="K110" s="21">
        <f>K5+K95+K107</f>
        <v>100</v>
      </c>
    </row>
  </sheetData>
  <sheetProtection/>
  <mergeCells count="10">
    <mergeCell ref="A1:K1"/>
    <mergeCell ref="A2:K2"/>
    <mergeCell ref="C3:G3"/>
    <mergeCell ref="H3:J3"/>
    <mergeCell ref="M7:R7"/>
    <mergeCell ref="M23:R23"/>
    <mergeCell ref="M42:R42"/>
    <mergeCell ref="A3:A4"/>
    <mergeCell ref="B3:B4"/>
    <mergeCell ref="K3:K4"/>
  </mergeCells>
  <printOptions/>
  <pageMargins left="0.31" right="0.2" top="0.49" bottom="0.59" header="0.33" footer="0.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概预算室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张琳娜</dc:creator>
  <cp:keywords/>
  <dc:description/>
  <cp:lastModifiedBy>Administrator</cp:lastModifiedBy>
  <cp:lastPrinted>2020-06-23T11:05:10Z</cp:lastPrinted>
  <dcterms:created xsi:type="dcterms:W3CDTF">2001-04-06T03:29:32Z</dcterms:created>
  <dcterms:modified xsi:type="dcterms:W3CDTF">2023-09-06T03:23:08Z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D5AFCCA1FE844BBEAE3EBAC0ED0BACBD_13</vt:lpwstr>
  </property>
</Properties>
</file>